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202" documentId="8_{60C6FA91-9326-46E5-85B7-D216E92811D6}" xr6:coauthVersionLast="47" xr6:coauthVersionMax="47" xr10:uidLastSave="{93C3C074-4A35-4C03-8FF5-6E09886CBFBB}"/>
  <bookViews>
    <workbookView xWindow="-108" yWindow="-108" windowWidth="23256" windowHeight="12456" activeTab="1" xr2:uid="{86CE2401-38BB-424A-A7D0-BD956CB96E3D}"/>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2" l="1"/>
  <c r="F14" i="2"/>
  <c r="F12" i="2"/>
  <c r="F9" i="2"/>
  <c r="F8" i="2"/>
  <c r="F10" i="2" s="1"/>
  <c r="F7" i="2"/>
  <c r="F6" i="2"/>
  <c r="F4" i="2"/>
  <c r="F3" i="2"/>
  <c r="J19" i="2" s="1"/>
  <c r="O28" i="2"/>
  <c r="N28" i="2"/>
  <c r="M28" i="2"/>
  <c r="O27" i="2"/>
  <c r="N19" i="2"/>
  <c r="O19" i="2"/>
  <c r="N2" i="2"/>
  <c r="O2" i="2" s="1"/>
  <c r="P2" i="2" s="1"/>
  <c r="Q2" i="2" s="1"/>
  <c r="R2" i="2" s="1"/>
  <c r="S2" i="2" s="1"/>
  <c r="T2" i="2" s="1"/>
  <c r="U2" i="2" s="1"/>
  <c r="U25" i="2"/>
  <c r="U19" i="2"/>
  <c r="U10" i="2"/>
  <c r="U5" i="2"/>
  <c r="U20" i="2" s="1"/>
  <c r="T25" i="2"/>
  <c r="T19" i="2"/>
  <c r="T10" i="2"/>
  <c r="T5" i="2"/>
  <c r="T20" i="2" s="1"/>
  <c r="S25" i="2"/>
  <c r="S19" i="2"/>
  <c r="S10" i="2"/>
  <c r="S5" i="2"/>
  <c r="S20" i="2" s="1"/>
  <c r="R25" i="2"/>
  <c r="R19" i="2"/>
  <c r="R10" i="2"/>
  <c r="R5" i="2"/>
  <c r="R20" i="2" s="1"/>
  <c r="Q25" i="2"/>
  <c r="Q19" i="2"/>
  <c r="Q10" i="2"/>
  <c r="Q5" i="2"/>
  <c r="Q20" i="2" s="1"/>
  <c r="P25" i="2"/>
  <c r="P19" i="2"/>
  <c r="P10" i="2"/>
  <c r="P5" i="2"/>
  <c r="P20" i="2" s="1"/>
  <c r="O25" i="2"/>
  <c r="O10" i="2"/>
  <c r="O5" i="2"/>
  <c r="O20" i="2" s="1"/>
  <c r="N25" i="2"/>
  <c r="N27" i="2" s="1"/>
  <c r="N10" i="2"/>
  <c r="N5" i="2"/>
  <c r="N20" i="2" s="1"/>
  <c r="M25" i="2"/>
  <c r="M27" i="2" s="1"/>
  <c r="M10" i="2"/>
  <c r="M5" i="2"/>
  <c r="M20" i="2" s="1"/>
  <c r="J25" i="2"/>
  <c r="J10" i="2"/>
  <c r="J5" i="2"/>
  <c r="J20" i="2" s="1"/>
  <c r="E44" i="2"/>
  <c r="E43" i="2"/>
  <c r="E38" i="2"/>
  <c r="E36" i="2"/>
  <c r="E33" i="2"/>
  <c r="E30" i="2" s="1"/>
  <c r="I44" i="2"/>
  <c r="I43" i="2"/>
  <c r="I38" i="2"/>
  <c r="I36" i="2"/>
  <c r="I33" i="2"/>
  <c r="D25" i="2"/>
  <c r="C25" i="2"/>
  <c r="I25" i="2"/>
  <c r="H25" i="2"/>
  <c r="G25" i="2"/>
  <c r="F25" i="2"/>
  <c r="E25" i="2"/>
  <c r="H19" i="2"/>
  <c r="G19" i="2"/>
  <c r="I19" i="2"/>
  <c r="H10" i="2"/>
  <c r="G10" i="2"/>
  <c r="E10" i="2"/>
  <c r="D10" i="2"/>
  <c r="C10" i="2"/>
  <c r="I10" i="2"/>
  <c r="H5" i="2"/>
  <c r="H20" i="2" s="1"/>
  <c r="G5" i="2"/>
  <c r="E5" i="2"/>
  <c r="D5" i="2"/>
  <c r="D20" i="2" s="1"/>
  <c r="C5" i="2"/>
  <c r="C20" i="2" s="1"/>
  <c r="I5" i="2"/>
  <c r="B5" i="1"/>
  <c r="B2" i="1" a="1"/>
  <c r="B2" i="1" s="1"/>
  <c r="B4" i="1" s="1"/>
  <c r="B7" i="1" s="1"/>
  <c r="F20" i="2" l="1"/>
  <c r="I39" i="2"/>
  <c r="E11" i="2"/>
  <c r="E21" i="2" s="1"/>
  <c r="I45" i="2"/>
  <c r="I30" i="2"/>
  <c r="E20" i="2"/>
  <c r="S11" i="2"/>
  <c r="S13" i="2" s="1"/>
  <c r="S15" i="2" s="1"/>
  <c r="S17" i="2" s="1"/>
  <c r="U11" i="2"/>
  <c r="T11" i="2"/>
  <c r="R11" i="2"/>
  <c r="Q11" i="2"/>
  <c r="P11" i="2"/>
  <c r="O11" i="2"/>
  <c r="O13" i="2" s="1"/>
  <c r="N11" i="2"/>
  <c r="M11" i="2"/>
  <c r="J11" i="2"/>
  <c r="J21" i="2" s="1"/>
  <c r="I11" i="2"/>
  <c r="I13" i="2" s="1"/>
  <c r="I15" i="2" s="1"/>
  <c r="I17" i="2" s="1"/>
  <c r="G11" i="2"/>
  <c r="G13" i="2" s="1"/>
  <c r="G15" i="2" s="1"/>
  <c r="G17" i="2" s="1"/>
  <c r="G20" i="2"/>
  <c r="D11" i="2"/>
  <c r="H11" i="2"/>
  <c r="E45" i="2"/>
  <c r="E39" i="2"/>
  <c r="I47" i="2"/>
  <c r="C11" i="2"/>
  <c r="I21" i="2"/>
  <c r="E13" i="2"/>
  <c r="E15" i="2" s="1"/>
  <c r="E17" i="2" s="1"/>
  <c r="I20" i="2"/>
  <c r="F11" i="2" l="1"/>
  <c r="F13" i="2" s="1"/>
  <c r="F15" i="2" s="1"/>
  <c r="F17" i="2" s="1"/>
  <c r="S21" i="2"/>
  <c r="E47" i="2"/>
  <c r="H13" i="2"/>
  <c r="H15" i="2" s="1"/>
  <c r="H17" i="2" s="1"/>
  <c r="H21" i="2"/>
  <c r="D13" i="2"/>
  <c r="D15" i="2" s="1"/>
  <c r="D17" i="2" s="1"/>
  <c r="D21" i="2"/>
  <c r="U21" i="2"/>
  <c r="U13" i="2"/>
  <c r="U15" i="2" s="1"/>
  <c r="U17" i="2" s="1"/>
  <c r="T21" i="2"/>
  <c r="T13" i="2"/>
  <c r="T15" i="2" s="1"/>
  <c r="T17" i="2" s="1"/>
  <c r="R21" i="2"/>
  <c r="R13" i="2"/>
  <c r="R15" i="2" s="1"/>
  <c r="R17" i="2" s="1"/>
  <c r="Q21" i="2"/>
  <c r="Q13" i="2"/>
  <c r="Q15" i="2" s="1"/>
  <c r="Q17" i="2" s="1"/>
  <c r="P13" i="2"/>
  <c r="P15" i="2" s="1"/>
  <c r="P17" i="2" s="1"/>
  <c r="P21" i="2"/>
  <c r="O21" i="2"/>
  <c r="O15" i="2"/>
  <c r="O17" i="2" s="1"/>
  <c r="N21" i="2"/>
  <c r="N13" i="2"/>
  <c r="N15" i="2" s="1"/>
  <c r="N17" i="2" s="1"/>
  <c r="M21" i="2"/>
  <c r="M13" i="2"/>
  <c r="M15" i="2" s="1"/>
  <c r="M17" i="2" s="1"/>
  <c r="J13" i="2"/>
  <c r="J15" i="2" s="1"/>
  <c r="J17" i="2" s="1"/>
  <c r="C13" i="2"/>
  <c r="C15" i="2" s="1"/>
  <c r="C17" i="2" s="1"/>
  <c r="C21" i="2"/>
  <c r="G21" i="2"/>
  <c r="F21"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<sst xmlns="http://schemas.openxmlformats.org/spreadsheetml/2006/main" count="56" uniqueCount="54">
  <si>
    <t>ticket</t>
  </si>
  <si>
    <t>price</t>
  </si>
  <si>
    <t>shares</t>
  </si>
  <si>
    <t>mc</t>
  </si>
  <si>
    <t>cash</t>
  </si>
  <si>
    <t>debt</t>
  </si>
  <si>
    <t>ev</t>
  </si>
  <si>
    <t>Income Statement</t>
  </si>
  <si>
    <t>Net Revenue</t>
  </si>
  <si>
    <t>COGS</t>
  </si>
  <si>
    <t>Gross Profit</t>
  </si>
  <si>
    <t>R&amp;D</t>
  </si>
  <si>
    <t>M&amp;S</t>
  </si>
  <si>
    <t>G&amp;A</t>
  </si>
  <si>
    <t>D&amp;A</t>
  </si>
  <si>
    <t>Total Opex</t>
  </si>
  <si>
    <t>Operating Income</t>
  </si>
  <si>
    <t>Net Interest</t>
  </si>
  <si>
    <t>Pretax Income</t>
  </si>
  <si>
    <t>Taxes</t>
  </si>
  <si>
    <t>Net Income</t>
  </si>
  <si>
    <t>Shares</t>
  </si>
  <si>
    <t>EPS</t>
  </si>
  <si>
    <t>Q3 2023</t>
  </si>
  <si>
    <t>Q1 2023</t>
  </si>
  <si>
    <t>Q2 2023</t>
  </si>
  <si>
    <t>Revenue Y/Y</t>
  </si>
  <si>
    <t>Gross Margin</t>
  </si>
  <si>
    <t>Operating Margin</t>
  </si>
  <si>
    <t xml:space="preserve">CFFO </t>
  </si>
  <si>
    <t>CAPEX</t>
  </si>
  <si>
    <t>FCF</t>
  </si>
  <si>
    <t>balance sheet</t>
  </si>
  <si>
    <t>A/R</t>
  </si>
  <si>
    <t>PP&amp;E</t>
  </si>
  <si>
    <t>Goodwill &amp; intangibles</t>
  </si>
  <si>
    <t>Deferred taxes</t>
  </si>
  <si>
    <t>Other Assets</t>
  </si>
  <si>
    <t>Total Assets</t>
  </si>
  <si>
    <t>A/P</t>
  </si>
  <si>
    <t>Deferred revenue</t>
  </si>
  <si>
    <t>Debt</t>
  </si>
  <si>
    <t>Other Liabilities</t>
  </si>
  <si>
    <t>Total Liabilities</t>
  </si>
  <si>
    <t>S/E</t>
  </si>
  <si>
    <t>Net Cash</t>
  </si>
  <si>
    <t>Q4 2023</t>
  </si>
  <si>
    <t>SBC</t>
  </si>
  <si>
    <t>FCF-SBC</t>
  </si>
  <si>
    <t>SBC % FCF</t>
  </si>
  <si>
    <t>Q1 2024</t>
  </si>
  <si>
    <t>Q2 2024</t>
  </si>
  <si>
    <t>Q3 2024</t>
  </si>
  <si>
    <t>Q4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</si>
</sst>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00_ ;_-[$$-409]* \-#,##0.00\ ;_-[$$-409]* &quot;-&quot;??_ ;_-@_ "/>
    <numFmt numFmtId="166" formatCode="0.0%"/>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0" fontId="1" fillId="0" borderId="0" xfId="0" applyFont="1"/>
    <xf numFmtId="9"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601980</xdr:colOff>
      <xdr:row>0</xdr:row>
      <xdr:rowOff>45720</xdr:rowOff>
    </xdr:from>
    <xdr:to>
      <xdr:col>9</xdr:col>
      <xdr:colOff>0</xdr:colOff>
      <xdr:row>30</xdr:row>
      <xdr:rowOff>53340</xdr:rowOff>
    </xdr:to>
    <xdr:cxnSp macro="">
      <xdr:nvCxnSpPr>
        <xdr:cNvPr id="3" name="Straight Connector 2">
          <a:extLst>
            <a:ext uri="{FF2B5EF4-FFF2-40B4-BE49-F238E27FC236}">
              <a16:creationId xmlns:a16="http://schemas.microsoft.com/office/drawing/2014/main" id="{22EBA465-6E2F-31CF-C6E8-66950E9C635C}"/>
            </a:ext>
          </a:extLst>
        </xdr:cNvPr>
        <xdr:cNvCxnSpPr/>
      </xdr:nvCxnSpPr>
      <xdr:spPr>
        <a:xfrm flipH="1">
          <a:off x="5623560" y="45720"/>
          <a:ext cx="7620" cy="53873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https://www.bing.com/financeapi/forcetrigger?t=a1rjec&amp;q=XNAS%3aEA&amp;form=skydnc</v>
    <v>Learn more on Bing</v>
  </rv>
  <rv s="1">
    <v>en-GB</v>
    <v>a1rjec</v>
    <v>268435456</v>
    <v>1</v>
    <v>Powered by Refinitiv</v>
    <v>0</v>
    <v>ELECTRONIC ARTS INC. (XNAS:EA)</v>
    <v>2</v>
    <v>3</v>
    <v>Finance</v>
    <v>4</v>
    <v>143.47</v>
    <v>108.53</v>
    <v>0.77259999999999995</v>
    <v>1.76</v>
    <v>-7.8229999999999999E-4</v>
    <v>1.2676E-2</v>
    <v>-0.11</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brands that it either wholly owns, such as Apex Legends, Battlefield, and The Sims or licenses from others, such as Madden NFL, Star Wars, and the 300 plus licenses within its global football ecosystem. The Company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content, subscription offerings and sale of its base games and free-to-play games.</v>
    <v>13400</v>
    <v>Nasdaq Stock Market</v>
    <v>XNAS</v>
    <v>XNAS</v>
    <v>209 Redwood Shores Pkwy, REDWOOD CITY, CA, 94065 US</v>
    <v>140.97999999999999</v>
    <v>Software &amp; IT Services</v>
    <v>Stock</v>
    <v>45331.919521782031</v>
    <v>0</v>
    <v>137</v>
    <v>37592150000</v>
    <v>ELECTRONIC ARTS INC.</v>
    <v>ELECTRONIC ARTS INC.</v>
    <v>138.6</v>
    <v>35.059899999999999</v>
    <v>138.85</v>
    <v>140.61000000000001</v>
    <v>140.5</v>
    <v>267350500</v>
    <v>EA</v>
    <v>ELECTRONIC ARTS INC. (XNAS:EA)</v>
    <v>2061523</v>
    <v>1729024</v>
    <v>1991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17304-0223-4059-8116-D99BCA4B4142}">
  <dimension ref="A1:B7"/>
  <sheetViews>
    <sheetView workbookViewId="0">
      <selection activeCell="B7" sqref="B7"/>
    </sheetView>
  </sheetViews>
  <sheetFormatPr defaultRowHeight="14.4" x14ac:dyDescent="0.3"/>
  <cols>
    <col min="2" max="2" width="10.88671875" bestFit="1" customWidth="1"/>
  </cols>
  <sheetData>
    <row r="1" spans="1:2" x14ac:dyDescent="0.3">
      <c r="A1" t="s">
        <v>0</v>
      </c>
      <c r="B1" t="e" vm="1">
        <v>#VALUE!</v>
      </c>
    </row>
    <row r="2" spans="1:2" x14ac:dyDescent="0.3">
      <c r="A2" t="s">
        <v>1</v>
      </c>
      <c r="B2" s="1" cm="1">
        <f t="array" ref="B2">_FV(B1,"Price")</f>
        <v>140.61000000000001</v>
      </c>
    </row>
    <row r="3" spans="1:2" x14ac:dyDescent="0.3">
      <c r="A3" t="s">
        <v>2</v>
      </c>
      <c r="B3">
        <v>267.350461</v>
      </c>
    </row>
    <row r="4" spans="1:2" x14ac:dyDescent="0.3">
      <c r="A4" t="s">
        <v>3</v>
      </c>
      <c r="B4" s="2">
        <f>B2*B3</f>
        <v>37592.148321210007</v>
      </c>
    </row>
    <row r="5" spans="1:2" x14ac:dyDescent="0.3">
      <c r="A5" t="s">
        <v>4</v>
      </c>
      <c r="B5">
        <f>2742+362</f>
        <v>3104</v>
      </c>
    </row>
    <row r="6" spans="1:2" x14ac:dyDescent="0.3">
      <c r="A6" t="s">
        <v>5</v>
      </c>
      <c r="B6">
        <v>1881</v>
      </c>
    </row>
    <row r="7" spans="1:2" x14ac:dyDescent="0.3">
      <c r="A7" t="s">
        <v>6</v>
      </c>
      <c r="B7" s="2">
        <f>B4-B5+B6</f>
        <v>36369.148321210007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75638-B17F-4247-B029-9BAD27492406}">
  <dimension ref="B1:U47"/>
  <sheetViews>
    <sheetView tabSelected="1" workbookViewId="0">
      <pane xSplit="2" ySplit="2" topLeftCell="C3" activePane="bottomRight" state="frozen"/>
      <selection pane="topRight" activeCell="C1" sqref="C1"/>
      <selection pane="bottomLeft" activeCell="A3" sqref="A3"/>
      <selection pane="bottomRight" activeCell="A2" sqref="A2"/>
    </sheetView>
  </sheetViews>
  <sheetFormatPr defaultRowHeight="14.4" x14ac:dyDescent="0.3"/>
  <cols>
    <col min="1" max="1" width="1.109375" customWidth="1"/>
    <col min="2" max="2" width="18.77734375" bestFit="1" customWidth="1"/>
  </cols>
  <sheetData>
    <row r="1" spans="2:21" ht="6" customHeight="1" x14ac:dyDescent="0.3"/>
    <row r="2" spans="2:21" x14ac:dyDescent="0.3">
      <c r="B2" t="s">
        <v>7</v>
      </c>
      <c r="C2" t="s">
        <v>24</v>
      </c>
      <c r="D2" t="s">
        <v>25</v>
      </c>
      <c r="E2" t="s">
        <v>23</v>
      </c>
      <c r="F2" t="s">
        <v>46</v>
      </c>
      <c r="G2" t="s">
        <v>50</v>
      </c>
      <c r="H2" t="s">
        <v>51</v>
      </c>
      <c r="I2" t="s">
        <v>52</v>
      </c>
      <c r="J2" t="s">
        <v>53</v>
      </c>
      <c r="M2">
        <v>2021</v>
      </c>
      <c r="N2">
        <f>M2+1</f>
        <v>2022</v>
      </c>
      <c r="O2">
        <f t="shared" ref="O2:U2" si="0">N2+1</f>
        <v>2023</v>
      </c>
      <c r="P2">
        <f t="shared" si="0"/>
        <v>2024</v>
      </c>
      <c r="Q2">
        <f t="shared" si="0"/>
        <v>2025</v>
      </c>
      <c r="R2">
        <f t="shared" si="0"/>
        <v>2026</v>
      </c>
      <c r="S2">
        <f t="shared" si="0"/>
        <v>2027</v>
      </c>
      <c r="T2">
        <f t="shared" si="0"/>
        <v>2028</v>
      </c>
      <c r="U2">
        <f t="shared" si="0"/>
        <v>2029</v>
      </c>
    </row>
    <row r="3" spans="2:21" x14ac:dyDescent="0.3">
      <c r="B3" s="3" t="s">
        <v>8</v>
      </c>
      <c r="C3" s="3">
        <v>1767</v>
      </c>
      <c r="D3" s="3">
        <v>1904</v>
      </c>
      <c r="E3" s="3">
        <v>1881</v>
      </c>
      <c r="F3" s="3">
        <f>O3-SUM(C3:E3)</f>
        <v>1874</v>
      </c>
      <c r="G3" s="3">
        <v>1924</v>
      </c>
      <c r="H3" s="3">
        <v>1914</v>
      </c>
      <c r="I3" s="3">
        <v>1945</v>
      </c>
      <c r="J3" s="3"/>
      <c r="M3" s="3">
        <v>5629</v>
      </c>
      <c r="N3" s="3">
        <v>6991</v>
      </c>
      <c r="O3" s="3">
        <v>7426</v>
      </c>
      <c r="P3" s="3"/>
      <c r="Q3" s="3"/>
      <c r="R3" s="3"/>
      <c r="S3" s="3"/>
      <c r="T3" s="3"/>
      <c r="U3" s="3"/>
    </row>
    <row r="4" spans="2:21" x14ac:dyDescent="0.3">
      <c r="B4" t="s">
        <v>9</v>
      </c>
      <c r="C4">
        <v>314</v>
      </c>
      <c r="D4">
        <v>462</v>
      </c>
      <c r="E4">
        <v>568</v>
      </c>
      <c r="F4" s="3">
        <f t="shared" ref="F4" si="1">O4-SUM(C4:E4)</f>
        <v>448</v>
      </c>
      <c r="G4">
        <v>368</v>
      </c>
      <c r="H4">
        <v>456</v>
      </c>
      <c r="I4">
        <v>529</v>
      </c>
      <c r="M4">
        <v>1494</v>
      </c>
      <c r="N4">
        <v>1859</v>
      </c>
      <c r="O4">
        <v>1792</v>
      </c>
    </row>
    <row r="5" spans="2:21" x14ac:dyDescent="0.3">
      <c r="B5" s="3" t="s">
        <v>10</v>
      </c>
      <c r="C5" s="3">
        <f t="shared" ref="C5:H5" si="2">C3-C4</f>
        <v>1453</v>
      </c>
      <c r="D5" s="3">
        <f t="shared" si="2"/>
        <v>1442</v>
      </c>
      <c r="E5" s="3">
        <f t="shared" si="2"/>
        <v>1313</v>
      </c>
      <c r="F5" s="3">
        <f>F3-F4</f>
        <v>1426</v>
      </c>
      <c r="G5" s="3">
        <f t="shared" si="2"/>
        <v>1556</v>
      </c>
      <c r="H5" s="3">
        <f t="shared" si="2"/>
        <v>1458</v>
      </c>
      <c r="I5" s="3">
        <f>I3-I4</f>
        <v>1416</v>
      </c>
      <c r="J5" s="3">
        <f>J3-J4</f>
        <v>0</v>
      </c>
      <c r="M5" s="3">
        <f t="shared" ref="M5:U5" si="3">M3-M4</f>
        <v>4135</v>
      </c>
      <c r="N5" s="3">
        <f t="shared" si="3"/>
        <v>5132</v>
      </c>
      <c r="O5" s="3">
        <f t="shared" si="3"/>
        <v>5634</v>
      </c>
      <c r="P5" s="3">
        <f t="shared" si="3"/>
        <v>0</v>
      </c>
      <c r="Q5" s="3">
        <f t="shared" si="3"/>
        <v>0</v>
      </c>
      <c r="R5" s="3">
        <f t="shared" si="3"/>
        <v>0</v>
      </c>
      <c r="S5" s="3">
        <f t="shared" si="3"/>
        <v>0</v>
      </c>
      <c r="T5" s="3">
        <f t="shared" si="3"/>
        <v>0</v>
      </c>
      <c r="U5" s="3">
        <f t="shared" si="3"/>
        <v>0</v>
      </c>
    </row>
    <row r="6" spans="2:21" x14ac:dyDescent="0.3">
      <c r="B6" t="s">
        <v>11</v>
      </c>
      <c r="C6">
        <v>572</v>
      </c>
      <c r="D6">
        <v>565</v>
      </c>
      <c r="E6">
        <v>556</v>
      </c>
      <c r="F6" s="3">
        <f t="shared" ref="F6:F9" si="4">O6-SUM(C6:E6)</f>
        <v>635</v>
      </c>
      <c r="G6">
        <v>596</v>
      </c>
      <c r="H6">
        <v>602</v>
      </c>
      <c r="I6">
        <v>584</v>
      </c>
      <c r="M6">
        <v>1778</v>
      </c>
      <c r="N6">
        <v>2186</v>
      </c>
      <c r="O6">
        <v>2328</v>
      </c>
    </row>
    <row r="7" spans="2:21" x14ac:dyDescent="0.3">
      <c r="B7" t="s">
        <v>12</v>
      </c>
      <c r="C7" s="3">
        <v>234</v>
      </c>
      <c r="D7" s="3">
        <v>233</v>
      </c>
      <c r="E7">
        <v>256</v>
      </c>
      <c r="F7" s="3">
        <f t="shared" si="4"/>
        <v>255</v>
      </c>
      <c r="G7" s="3">
        <v>229</v>
      </c>
      <c r="H7" s="3">
        <v>280</v>
      </c>
      <c r="I7">
        <v>276</v>
      </c>
      <c r="M7" s="3">
        <v>689</v>
      </c>
      <c r="N7" s="3">
        <v>961</v>
      </c>
      <c r="O7" s="3">
        <v>978</v>
      </c>
    </row>
    <row r="8" spans="2:21" x14ac:dyDescent="0.3">
      <c r="B8" t="s">
        <v>13</v>
      </c>
      <c r="C8">
        <v>167</v>
      </c>
      <c r="D8">
        <v>174</v>
      </c>
      <c r="E8">
        <v>162</v>
      </c>
      <c r="F8" s="3">
        <f t="shared" si="4"/>
        <v>224</v>
      </c>
      <c r="G8">
        <v>163</v>
      </c>
      <c r="H8">
        <v>173</v>
      </c>
      <c r="I8">
        <v>170</v>
      </c>
      <c r="M8">
        <v>592</v>
      </c>
      <c r="N8">
        <v>673</v>
      </c>
      <c r="O8">
        <v>727</v>
      </c>
    </row>
    <row r="9" spans="2:21" x14ac:dyDescent="0.3">
      <c r="B9" t="s">
        <v>14</v>
      </c>
      <c r="C9" s="3">
        <v>39</v>
      </c>
      <c r="D9" s="3">
        <v>43</v>
      </c>
      <c r="E9">
        <v>50</v>
      </c>
      <c r="F9" s="3">
        <f t="shared" si="4"/>
        <v>26</v>
      </c>
      <c r="G9" s="3">
        <v>25</v>
      </c>
      <c r="H9" s="3">
        <v>24</v>
      </c>
      <c r="I9">
        <v>21</v>
      </c>
      <c r="M9" s="3">
        <v>30</v>
      </c>
      <c r="N9" s="3">
        <v>183</v>
      </c>
      <c r="O9" s="3">
        <v>158</v>
      </c>
    </row>
    <row r="10" spans="2:21" x14ac:dyDescent="0.3">
      <c r="B10" t="s">
        <v>15</v>
      </c>
      <c r="C10">
        <f t="shared" ref="C10:H10" si="5">SUM(C6:C9)</f>
        <v>1012</v>
      </c>
      <c r="D10">
        <f t="shared" si="5"/>
        <v>1015</v>
      </c>
      <c r="E10">
        <f t="shared" si="5"/>
        <v>1024</v>
      </c>
      <c r="F10">
        <f t="shared" si="5"/>
        <v>1140</v>
      </c>
      <c r="G10">
        <f t="shared" si="5"/>
        <v>1013</v>
      </c>
      <c r="H10">
        <f t="shared" si="5"/>
        <v>1079</v>
      </c>
      <c r="I10">
        <f>SUM(I6:I9)</f>
        <v>1051</v>
      </c>
      <c r="J10">
        <f>SUM(J6:J9)</f>
        <v>0</v>
      </c>
      <c r="M10">
        <f t="shared" ref="M10:U10" si="6">SUM(M6:M9)</f>
        <v>3089</v>
      </c>
      <c r="N10">
        <f t="shared" si="6"/>
        <v>4003</v>
      </c>
      <c r="O10">
        <f t="shared" si="6"/>
        <v>4191</v>
      </c>
      <c r="P10">
        <f t="shared" si="6"/>
        <v>0</v>
      </c>
      <c r="Q10">
        <f t="shared" si="6"/>
        <v>0</v>
      </c>
      <c r="R10">
        <f t="shared" si="6"/>
        <v>0</v>
      </c>
      <c r="S10">
        <f t="shared" si="6"/>
        <v>0</v>
      </c>
      <c r="T10">
        <f t="shared" si="6"/>
        <v>0</v>
      </c>
      <c r="U10">
        <f t="shared" si="6"/>
        <v>0</v>
      </c>
    </row>
    <row r="11" spans="2:21" x14ac:dyDescent="0.3">
      <c r="B11" s="3" t="s">
        <v>16</v>
      </c>
      <c r="C11" s="3">
        <f t="shared" ref="C11:H11" si="7">C5-C10</f>
        <v>441</v>
      </c>
      <c r="D11" s="3">
        <f t="shared" si="7"/>
        <v>427</v>
      </c>
      <c r="E11" s="3">
        <f t="shared" si="7"/>
        <v>289</v>
      </c>
      <c r="F11" s="3">
        <f t="shared" si="7"/>
        <v>286</v>
      </c>
      <c r="G11" s="3">
        <f t="shared" si="7"/>
        <v>543</v>
      </c>
      <c r="H11" s="3">
        <f t="shared" si="7"/>
        <v>379</v>
      </c>
      <c r="I11" s="3">
        <f>I5-I10</f>
        <v>365</v>
      </c>
      <c r="J11" s="3">
        <f>J5-J10</f>
        <v>0</v>
      </c>
      <c r="M11" s="3">
        <f t="shared" ref="M11:U11" si="8">M5-M10</f>
        <v>1046</v>
      </c>
      <c r="N11" s="3">
        <f t="shared" si="8"/>
        <v>1129</v>
      </c>
      <c r="O11" s="3">
        <f t="shared" si="8"/>
        <v>1443</v>
      </c>
      <c r="P11" s="3">
        <f t="shared" si="8"/>
        <v>0</v>
      </c>
      <c r="Q11" s="3">
        <f t="shared" si="8"/>
        <v>0</v>
      </c>
      <c r="R11" s="3">
        <f t="shared" si="8"/>
        <v>0</v>
      </c>
      <c r="S11" s="3">
        <f t="shared" si="8"/>
        <v>0</v>
      </c>
      <c r="T11" s="3">
        <f t="shared" si="8"/>
        <v>0</v>
      </c>
      <c r="U11" s="3">
        <f t="shared" si="8"/>
        <v>0</v>
      </c>
    </row>
    <row r="12" spans="2:21" x14ac:dyDescent="0.3">
      <c r="B12" t="s">
        <v>17</v>
      </c>
      <c r="C12">
        <v>-5</v>
      </c>
      <c r="D12">
        <v>0</v>
      </c>
      <c r="E12">
        <v>-7</v>
      </c>
      <c r="F12" s="3">
        <f>O12-SUM(C12:E12)</f>
        <v>6</v>
      </c>
      <c r="G12">
        <v>14</v>
      </c>
      <c r="H12">
        <v>14</v>
      </c>
      <c r="I12">
        <v>17</v>
      </c>
      <c r="M12">
        <v>-29</v>
      </c>
      <c r="N12">
        <v>-48</v>
      </c>
      <c r="O12">
        <v>-6</v>
      </c>
    </row>
    <row r="13" spans="2:21" x14ac:dyDescent="0.3">
      <c r="B13" t="s">
        <v>18</v>
      </c>
      <c r="C13">
        <f t="shared" ref="C13:H13" si="9">C11+C12</f>
        <v>436</v>
      </c>
      <c r="D13">
        <f t="shared" si="9"/>
        <v>427</v>
      </c>
      <c r="E13">
        <f>E11+E12</f>
        <v>282</v>
      </c>
      <c r="F13">
        <f t="shared" si="9"/>
        <v>292</v>
      </c>
      <c r="G13">
        <f t="shared" si="9"/>
        <v>557</v>
      </c>
      <c r="H13">
        <f t="shared" si="9"/>
        <v>393</v>
      </c>
      <c r="I13">
        <f>I11+I12</f>
        <v>382</v>
      </c>
      <c r="J13">
        <f>J11+J12</f>
        <v>0</v>
      </c>
      <c r="M13">
        <f>M11+M12</f>
        <v>1017</v>
      </c>
      <c r="N13">
        <f>N11+N12</f>
        <v>1081</v>
      </c>
      <c r="O13">
        <f t="shared" ref="O13" si="10">O11+O12</f>
        <v>1437</v>
      </c>
      <c r="P13">
        <f t="shared" ref="P13:U13" si="11">P11+P12</f>
        <v>0</v>
      </c>
      <c r="Q13">
        <f t="shared" si="11"/>
        <v>0</v>
      </c>
      <c r="R13">
        <f t="shared" si="11"/>
        <v>0</v>
      </c>
      <c r="S13">
        <f t="shared" si="11"/>
        <v>0</v>
      </c>
      <c r="T13">
        <f t="shared" si="11"/>
        <v>0</v>
      </c>
      <c r="U13">
        <f t="shared" si="11"/>
        <v>0</v>
      </c>
    </row>
    <row r="14" spans="2:21" x14ac:dyDescent="0.3">
      <c r="B14" t="s">
        <v>19</v>
      </c>
      <c r="C14">
        <v>125</v>
      </c>
      <c r="D14">
        <v>128</v>
      </c>
      <c r="E14">
        <v>78</v>
      </c>
      <c r="F14" s="3">
        <f>O14-SUM(C14:E14)</f>
        <v>193</v>
      </c>
      <c r="G14">
        <v>154</v>
      </c>
      <c r="H14">
        <v>-8</v>
      </c>
      <c r="I14">
        <v>92</v>
      </c>
      <c r="M14">
        <v>180</v>
      </c>
      <c r="N14">
        <v>292</v>
      </c>
      <c r="O14">
        <v>524</v>
      </c>
    </row>
    <row r="15" spans="2:21" x14ac:dyDescent="0.3">
      <c r="B15" s="3" t="s">
        <v>20</v>
      </c>
      <c r="C15" s="3">
        <f t="shared" ref="C15:H15" si="12">C13-C14</f>
        <v>311</v>
      </c>
      <c r="D15" s="3">
        <f t="shared" si="12"/>
        <v>299</v>
      </c>
      <c r="E15" s="3">
        <f t="shared" si="12"/>
        <v>204</v>
      </c>
      <c r="F15" s="3">
        <f t="shared" si="12"/>
        <v>99</v>
      </c>
      <c r="G15" s="3">
        <f t="shared" si="12"/>
        <v>403</v>
      </c>
      <c r="H15" s="3">
        <f t="shared" si="12"/>
        <v>401</v>
      </c>
      <c r="I15" s="3">
        <f>I13-I14</f>
        <v>290</v>
      </c>
      <c r="J15" s="3">
        <f>J13-J14</f>
        <v>0</v>
      </c>
      <c r="M15" s="3">
        <f t="shared" ref="M15:U15" si="13">M13-M14</f>
        <v>837</v>
      </c>
      <c r="N15" s="3">
        <f t="shared" si="13"/>
        <v>789</v>
      </c>
      <c r="O15" s="3">
        <f t="shared" si="13"/>
        <v>913</v>
      </c>
      <c r="P15" s="3">
        <f t="shared" si="13"/>
        <v>0</v>
      </c>
      <c r="Q15" s="3">
        <f t="shared" si="13"/>
        <v>0</v>
      </c>
      <c r="R15" s="3">
        <f t="shared" si="13"/>
        <v>0</v>
      </c>
      <c r="S15" s="3">
        <f t="shared" si="13"/>
        <v>0</v>
      </c>
      <c r="T15" s="3">
        <f t="shared" si="13"/>
        <v>0</v>
      </c>
      <c r="U15" s="3">
        <f t="shared" si="13"/>
        <v>0</v>
      </c>
    </row>
    <row r="16" spans="2:21" x14ac:dyDescent="0.3">
      <c r="B16" t="s">
        <v>21</v>
      </c>
      <c r="C16">
        <v>281</v>
      </c>
      <c r="D16">
        <v>279</v>
      </c>
      <c r="E16">
        <v>278</v>
      </c>
      <c r="F16">
        <v>248</v>
      </c>
      <c r="G16">
        <v>274</v>
      </c>
      <c r="H16">
        <v>272</v>
      </c>
      <c r="I16">
        <v>271</v>
      </c>
      <c r="M16">
        <v>292</v>
      </c>
      <c r="N16">
        <v>286</v>
      </c>
      <c r="O16">
        <v>278</v>
      </c>
    </row>
    <row r="17" spans="2:21" x14ac:dyDescent="0.3">
      <c r="B17" t="s">
        <v>22</v>
      </c>
      <c r="C17" s="2">
        <f t="shared" ref="C17:H17" si="14">C15/C16</f>
        <v>1.106761565836299</v>
      </c>
      <c r="D17" s="2">
        <f t="shared" si="14"/>
        <v>1.0716845878136201</v>
      </c>
      <c r="E17" s="2">
        <f t="shared" si="14"/>
        <v>0.73381294964028776</v>
      </c>
      <c r="F17" s="2">
        <f t="shared" si="14"/>
        <v>0.39919354838709675</v>
      </c>
      <c r="G17" s="2">
        <f t="shared" si="14"/>
        <v>1.4708029197080292</v>
      </c>
      <c r="H17" s="2">
        <f t="shared" si="14"/>
        <v>1.474264705882353</v>
      </c>
      <c r="I17" s="2">
        <f>I15/I16</f>
        <v>1.070110701107011</v>
      </c>
      <c r="J17" s="2" t="e">
        <f>J15/J16</f>
        <v>#DIV/0!</v>
      </c>
      <c r="M17" s="2">
        <f t="shared" ref="M17:U17" si="15">M15/M16</f>
        <v>2.8664383561643834</v>
      </c>
      <c r="N17" s="2">
        <f t="shared" si="15"/>
        <v>2.7587412587412588</v>
      </c>
      <c r="O17" s="2">
        <f t="shared" si="15"/>
        <v>3.2841726618705036</v>
      </c>
      <c r="P17" s="2" t="e">
        <f t="shared" si="15"/>
        <v>#DIV/0!</v>
      </c>
      <c r="Q17" s="2" t="e">
        <f t="shared" si="15"/>
        <v>#DIV/0!</v>
      </c>
      <c r="R17" s="2" t="e">
        <f t="shared" si="15"/>
        <v>#DIV/0!</v>
      </c>
      <c r="S17" s="2" t="e">
        <f t="shared" si="15"/>
        <v>#DIV/0!</v>
      </c>
      <c r="T17" s="2" t="e">
        <f t="shared" si="15"/>
        <v>#DIV/0!</v>
      </c>
      <c r="U17" s="2" t="e">
        <f t="shared" si="15"/>
        <v>#DIV/0!</v>
      </c>
    </row>
    <row r="19" spans="2:21" x14ac:dyDescent="0.3">
      <c r="B19" t="s">
        <v>26</v>
      </c>
      <c r="C19" s="5"/>
      <c r="D19" s="5"/>
      <c r="E19" s="5"/>
      <c r="F19" s="5"/>
      <c r="G19" s="5">
        <f t="shared" ref="G19:H19" si="16">G3/C3-1</f>
        <v>8.8851160158460729E-2</v>
      </c>
      <c r="H19" s="5">
        <f t="shared" si="16"/>
        <v>5.2521008403361158E-3</v>
      </c>
      <c r="I19" s="5">
        <f>I3/E3-1</f>
        <v>3.4024455077086735E-2</v>
      </c>
      <c r="J19" s="5">
        <f>J3/F3-1</f>
        <v>-1</v>
      </c>
      <c r="M19" s="5"/>
      <c r="N19" s="5">
        <f t="shared" ref="N19" si="17">N3/M3-1</f>
        <v>0.24196127198436668</v>
      </c>
      <c r="O19" s="5">
        <f>O3/N3-1</f>
        <v>6.2222857960234634E-2</v>
      </c>
      <c r="P19" s="5" t="e">
        <f t="shared" ref="P19:U19" si="18">P3/L3-1</f>
        <v>#DIV/0!</v>
      </c>
      <c r="Q19" s="5">
        <f t="shared" si="18"/>
        <v>-1</v>
      </c>
      <c r="R19" s="5">
        <f t="shared" si="18"/>
        <v>-1</v>
      </c>
      <c r="S19" s="5">
        <f t="shared" si="18"/>
        <v>-1</v>
      </c>
      <c r="T19" s="5" t="e">
        <f t="shared" si="18"/>
        <v>#DIV/0!</v>
      </c>
      <c r="U19" s="5" t="e">
        <f t="shared" si="18"/>
        <v>#DIV/0!</v>
      </c>
    </row>
    <row r="20" spans="2:21" x14ac:dyDescent="0.3">
      <c r="B20" t="s">
        <v>27</v>
      </c>
      <c r="C20" s="5">
        <f t="shared" ref="C20:H20" si="19">C5/C3</f>
        <v>0.82229767968307865</v>
      </c>
      <c r="D20" s="5">
        <f t="shared" si="19"/>
        <v>0.75735294117647056</v>
      </c>
      <c r="E20" s="5">
        <f t="shared" si="19"/>
        <v>0.69803296119085589</v>
      </c>
      <c r="F20" s="5">
        <f t="shared" si="19"/>
        <v>0.76093916755602986</v>
      </c>
      <c r="G20" s="5">
        <f t="shared" si="19"/>
        <v>0.80873180873180872</v>
      </c>
      <c r="H20" s="5">
        <f t="shared" si="19"/>
        <v>0.76175548589341691</v>
      </c>
      <c r="I20" s="5">
        <f>I5/I3</f>
        <v>0.72802056555269923</v>
      </c>
      <c r="J20" s="5" t="e">
        <f>J5/J3</f>
        <v>#DIV/0!</v>
      </c>
      <c r="M20" s="5">
        <f t="shared" ref="M20:U20" si="20">M5/M3</f>
        <v>0.7345887368982057</v>
      </c>
      <c r="N20" s="5">
        <f t="shared" si="20"/>
        <v>0.73408668287798595</v>
      </c>
      <c r="O20" s="5">
        <f t="shared" si="20"/>
        <v>0.75868569889577164</v>
      </c>
      <c r="P20" s="5" t="e">
        <f t="shared" si="20"/>
        <v>#DIV/0!</v>
      </c>
      <c r="Q20" s="5" t="e">
        <f t="shared" si="20"/>
        <v>#DIV/0!</v>
      </c>
      <c r="R20" s="5" t="e">
        <f t="shared" si="20"/>
        <v>#DIV/0!</v>
      </c>
      <c r="S20" s="5" t="e">
        <f t="shared" si="20"/>
        <v>#DIV/0!</v>
      </c>
      <c r="T20" s="5" t="e">
        <f t="shared" si="20"/>
        <v>#DIV/0!</v>
      </c>
      <c r="U20" s="5" t="e">
        <f t="shared" si="20"/>
        <v>#DIV/0!</v>
      </c>
    </row>
    <row r="21" spans="2:21" x14ac:dyDescent="0.3">
      <c r="B21" t="s">
        <v>28</v>
      </c>
      <c r="C21" s="5">
        <f t="shared" ref="C21:H21" si="21">C11/C3</f>
        <v>0.24957555178268251</v>
      </c>
      <c r="D21" s="5">
        <f t="shared" si="21"/>
        <v>0.22426470588235295</v>
      </c>
      <c r="E21" s="5">
        <f t="shared" si="21"/>
        <v>0.15364167995746944</v>
      </c>
      <c r="F21" s="5">
        <f t="shared" si="21"/>
        <v>0.15261472785485591</v>
      </c>
      <c r="G21" s="5">
        <f t="shared" si="21"/>
        <v>0.2822245322245322</v>
      </c>
      <c r="H21" s="5">
        <f t="shared" si="21"/>
        <v>0.1980146290491118</v>
      </c>
      <c r="I21" s="5">
        <f>I11/I3</f>
        <v>0.18766066838046272</v>
      </c>
      <c r="J21" s="5" t="e">
        <f>J11/J3</f>
        <v>#DIV/0!</v>
      </c>
      <c r="M21" s="5">
        <f t="shared" ref="M21:U21" si="22">M11/M3</f>
        <v>0.18582341446082787</v>
      </c>
      <c r="N21" s="5">
        <f t="shared" si="22"/>
        <v>0.16149334859104564</v>
      </c>
      <c r="O21" s="5">
        <f t="shared" si="22"/>
        <v>0.19431726366819282</v>
      </c>
      <c r="P21" s="5" t="e">
        <f t="shared" si="22"/>
        <v>#DIV/0!</v>
      </c>
      <c r="Q21" s="5" t="e">
        <f t="shared" si="22"/>
        <v>#DIV/0!</v>
      </c>
      <c r="R21" s="5" t="e">
        <f t="shared" si="22"/>
        <v>#DIV/0!</v>
      </c>
      <c r="S21" s="5" t="e">
        <f t="shared" si="22"/>
        <v>#DIV/0!</v>
      </c>
      <c r="T21" s="5" t="e">
        <f t="shared" si="22"/>
        <v>#DIV/0!</v>
      </c>
      <c r="U21" s="5" t="e">
        <f t="shared" si="22"/>
        <v>#DIV/0!</v>
      </c>
    </row>
    <row r="23" spans="2:21" x14ac:dyDescent="0.3">
      <c r="B23" t="s">
        <v>29</v>
      </c>
      <c r="C23">
        <v>-78</v>
      </c>
      <c r="D23">
        <v>-190</v>
      </c>
      <c r="E23">
        <v>933</v>
      </c>
      <c r="G23">
        <v>359</v>
      </c>
      <c r="H23">
        <v>471</v>
      </c>
      <c r="I23">
        <v>1735</v>
      </c>
      <c r="J23">
        <v>1735</v>
      </c>
      <c r="M23">
        <v>1934</v>
      </c>
      <c r="N23">
        <v>1899</v>
      </c>
      <c r="O23">
        <v>1550</v>
      </c>
    </row>
    <row r="24" spans="2:21" x14ac:dyDescent="0.3">
      <c r="B24" t="s">
        <v>30</v>
      </c>
      <c r="C24">
        <v>59</v>
      </c>
      <c r="D24">
        <v>112</v>
      </c>
      <c r="E24">
        <v>160</v>
      </c>
      <c r="G24">
        <v>45</v>
      </c>
      <c r="H24">
        <v>96</v>
      </c>
      <c r="I24">
        <v>148</v>
      </c>
      <c r="J24">
        <v>148</v>
      </c>
      <c r="M24">
        <v>124</v>
      </c>
      <c r="N24">
        <v>188</v>
      </c>
      <c r="O24">
        <v>207</v>
      </c>
    </row>
    <row r="25" spans="2:21" x14ac:dyDescent="0.3">
      <c r="B25" t="s">
        <v>31</v>
      </c>
      <c r="C25">
        <f t="shared" ref="C25:D25" si="23">C23-C24</f>
        <v>-137</v>
      </c>
      <c r="D25">
        <f t="shared" si="23"/>
        <v>-302</v>
      </c>
      <c r="E25">
        <f>E23-E24</f>
        <v>773</v>
      </c>
      <c r="F25">
        <f t="shared" ref="F25:J25" si="24">F23-F24</f>
        <v>0</v>
      </c>
      <c r="G25">
        <f t="shared" si="24"/>
        <v>314</v>
      </c>
      <c r="H25">
        <f t="shared" si="24"/>
        <v>375</v>
      </c>
      <c r="I25">
        <f t="shared" si="24"/>
        <v>1587</v>
      </c>
      <c r="J25">
        <f t="shared" si="24"/>
        <v>1587</v>
      </c>
      <c r="M25">
        <f t="shared" ref="M25:U25" si="25">M23-M24</f>
        <v>1810</v>
      </c>
      <c r="N25">
        <f t="shared" si="25"/>
        <v>1711</v>
      </c>
      <c r="O25">
        <f t="shared" si="25"/>
        <v>1343</v>
      </c>
      <c r="P25">
        <f t="shared" si="25"/>
        <v>0</v>
      </c>
      <c r="Q25">
        <f t="shared" si="25"/>
        <v>0</v>
      </c>
      <c r="R25">
        <f t="shared" si="25"/>
        <v>0</v>
      </c>
      <c r="S25">
        <f t="shared" si="25"/>
        <v>0</v>
      </c>
      <c r="T25">
        <f t="shared" si="25"/>
        <v>0</v>
      </c>
      <c r="U25">
        <f t="shared" si="25"/>
        <v>0</v>
      </c>
    </row>
    <row r="26" spans="2:21" x14ac:dyDescent="0.3">
      <c r="B26" t="s">
        <v>47</v>
      </c>
      <c r="M26">
        <v>435</v>
      </c>
      <c r="N26">
        <v>528</v>
      </c>
      <c r="O26">
        <v>548</v>
      </c>
    </row>
    <row r="27" spans="2:21" x14ac:dyDescent="0.3">
      <c r="B27" t="s">
        <v>48</v>
      </c>
      <c r="M27">
        <f>M25-M26</f>
        <v>1375</v>
      </c>
      <c r="N27">
        <f t="shared" ref="N27:O27" si="26">N25-N26</f>
        <v>1183</v>
      </c>
      <c r="O27">
        <f t="shared" si="26"/>
        <v>795</v>
      </c>
    </row>
    <row r="28" spans="2:21" x14ac:dyDescent="0.3">
      <c r="B28" t="s">
        <v>49</v>
      </c>
      <c r="M28" s="4">
        <f>M26/M25</f>
        <v>0.24033149171270718</v>
      </c>
      <c r="N28" s="4">
        <f t="shared" ref="N28:O28" si="27">N26/N25</f>
        <v>0.3085914669783752</v>
      </c>
      <c r="O28" s="4">
        <f t="shared" si="27"/>
        <v>0.40804169769173493</v>
      </c>
    </row>
    <row r="30" spans="2:21" x14ac:dyDescent="0.3">
      <c r="B30" t="s">
        <v>45</v>
      </c>
      <c r="E30">
        <f>E33-E42</f>
        <v>887</v>
      </c>
      <c r="I30">
        <f>I33-I42</f>
        <v>1223</v>
      </c>
    </row>
    <row r="32" spans="2:21" x14ac:dyDescent="0.3">
      <c r="B32" t="s">
        <v>32</v>
      </c>
    </row>
    <row r="33" spans="2:9" x14ac:dyDescent="0.3">
      <c r="B33" t="s">
        <v>4</v>
      </c>
      <c r="E33">
        <f>2424+343</f>
        <v>2767</v>
      </c>
      <c r="I33">
        <f>2742+362</f>
        <v>3104</v>
      </c>
    </row>
    <row r="34" spans="2:9" x14ac:dyDescent="0.3">
      <c r="B34" t="s">
        <v>33</v>
      </c>
      <c r="E34">
        <v>684</v>
      </c>
      <c r="I34">
        <v>867</v>
      </c>
    </row>
    <row r="35" spans="2:9" x14ac:dyDescent="0.3">
      <c r="B35" t="s">
        <v>34</v>
      </c>
      <c r="E35">
        <v>549</v>
      </c>
      <c r="I35">
        <v>561</v>
      </c>
    </row>
    <row r="36" spans="2:9" x14ac:dyDescent="0.3">
      <c r="B36" t="s">
        <v>35</v>
      </c>
      <c r="E36">
        <f>5380+618</f>
        <v>5998</v>
      </c>
      <c r="I36">
        <f>5382+501</f>
        <v>5883</v>
      </c>
    </row>
    <row r="37" spans="2:9" x14ac:dyDescent="0.3">
      <c r="B37" t="s">
        <v>36</v>
      </c>
      <c r="E37">
        <v>2462</v>
      </c>
      <c r="I37">
        <v>2375</v>
      </c>
    </row>
    <row r="38" spans="2:9" x14ac:dyDescent="0.3">
      <c r="B38" t="s">
        <v>37</v>
      </c>
      <c r="E38">
        <f>518+481</f>
        <v>999</v>
      </c>
      <c r="I38">
        <f>378+449</f>
        <v>827</v>
      </c>
    </row>
    <row r="39" spans="2:9" x14ac:dyDescent="0.3">
      <c r="B39" t="s">
        <v>38</v>
      </c>
      <c r="E39">
        <f>SUM(E33:E38)</f>
        <v>13459</v>
      </c>
      <c r="I39">
        <f>SUM(I33:I38)</f>
        <v>13617</v>
      </c>
    </row>
    <row r="40" spans="2:9" x14ac:dyDescent="0.3">
      <c r="B40" t="s">
        <v>39</v>
      </c>
      <c r="E40">
        <v>99</v>
      </c>
      <c r="I40">
        <v>62</v>
      </c>
    </row>
    <row r="41" spans="2:9" x14ac:dyDescent="0.3">
      <c r="B41" t="s">
        <v>40</v>
      </c>
      <c r="E41">
        <v>1901</v>
      </c>
      <c r="I41">
        <v>1919</v>
      </c>
    </row>
    <row r="42" spans="2:9" x14ac:dyDescent="0.3">
      <c r="B42" t="s">
        <v>41</v>
      </c>
      <c r="E42">
        <v>1880</v>
      </c>
      <c r="I42">
        <v>1881</v>
      </c>
    </row>
    <row r="43" spans="2:9" x14ac:dyDescent="0.3">
      <c r="B43" t="s">
        <v>36</v>
      </c>
      <c r="E43">
        <f>607+1</f>
        <v>608</v>
      </c>
      <c r="I43">
        <f>482+2</f>
        <v>484</v>
      </c>
    </row>
    <row r="44" spans="2:9" x14ac:dyDescent="0.3">
      <c r="B44" t="s">
        <v>42</v>
      </c>
      <c r="E44">
        <f>1285+393</f>
        <v>1678</v>
      </c>
      <c r="I44">
        <f>1299+439</f>
        <v>1738</v>
      </c>
    </row>
    <row r="45" spans="2:9" x14ac:dyDescent="0.3">
      <c r="B45" t="s">
        <v>43</v>
      </c>
      <c r="E45">
        <f>SUM(E40:E44)</f>
        <v>6166</v>
      </c>
      <c r="I45">
        <f>SUM(I40:I44)</f>
        <v>6084</v>
      </c>
    </row>
    <row r="47" spans="2:9" x14ac:dyDescent="0.3">
      <c r="B47" t="s">
        <v>44</v>
      </c>
      <c r="E47">
        <f>E39-E45</f>
        <v>7293</v>
      </c>
      <c r="I47">
        <f>I39-I45</f>
        <v>7533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2024-02-10T20:51:02Z</dcterms:created>
  <dcterms:modified xsi:type="dcterms:W3CDTF">2024-02-11T10:07:00Z</dcterms:modified>
</cp:coreProperties>
</file>