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813" documentId="8_{E64348F1-22ED-46E8-AF64-9ACF37601229}" xr6:coauthVersionLast="47" xr6:coauthVersionMax="47" xr10:uidLastSave="{44E2E203-98F6-4DC8-847D-C47A5B7CFDB5}"/>
  <bookViews>
    <workbookView xWindow="-120" yWindow="-120" windowWidth="29040" windowHeight="15720" activeTab="1" xr2:uid="{F1F9DB5F-1AD2-4408-8F2F-22DE94CB3263}"/>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4" i="2" l="1"/>
  <c r="AA24" i="2"/>
  <c r="Z24" i="2"/>
  <c r="Y24" i="2"/>
  <c r="X24" i="2"/>
  <c r="W24" i="2"/>
  <c r="V28" i="2"/>
  <c r="V27" i="2"/>
  <c r="W27" i="2" s="1"/>
  <c r="X27" i="2" s="1"/>
  <c r="Y27" i="2" s="1"/>
  <c r="Z27" i="2" s="1"/>
  <c r="AA27" i="2" s="1"/>
  <c r="AB27" i="2" s="1"/>
  <c r="W34" i="2"/>
  <c r="X34" i="2" s="1"/>
  <c r="Y34" i="2" s="1"/>
  <c r="Z34" i="2" s="1"/>
  <c r="AA34" i="2" s="1"/>
  <c r="AB34" i="2" s="1"/>
  <c r="V34" i="2"/>
  <c r="W32" i="2"/>
  <c r="X32" i="2" s="1"/>
  <c r="Y32" i="2" s="1"/>
  <c r="Z32" i="2" s="1"/>
  <c r="AA32" i="2" s="1"/>
  <c r="AB32" i="2" s="1"/>
  <c r="V32" i="2"/>
  <c r="W49" i="2"/>
  <c r="V49" i="2"/>
  <c r="W25" i="2"/>
  <c r="X25" i="2" s="1"/>
  <c r="Y25" i="2" s="1"/>
  <c r="Z25" i="2" s="1"/>
  <c r="AA25" i="2" s="1"/>
  <c r="AB25" i="2" s="1"/>
  <c r="V25" i="2"/>
  <c r="V24" i="2"/>
  <c r="L118" i="2"/>
  <c r="AB22" i="2"/>
  <c r="AA22" i="2"/>
  <c r="Z22" i="2"/>
  <c r="Y22" i="2"/>
  <c r="X22" i="2"/>
  <c r="X47" i="2" s="1"/>
  <c r="W22" i="2"/>
  <c r="V22" i="2"/>
  <c r="V47" i="2" s="1"/>
  <c r="AB21" i="2"/>
  <c r="AB46" i="2" s="1"/>
  <c r="AA21" i="2"/>
  <c r="Z21" i="2"/>
  <c r="Y21" i="2"/>
  <c r="X21" i="2"/>
  <c r="Y46" i="2"/>
  <c r="X46" i="2"/>
  <c r="W21" i="2"/>
  <c r="AB47" i="2"/>
  <c r="AA47" i="2"/>
  <c r="Z47" i="2"/>
  <c r="Y47" i="2"/>
  <c r="W47" i="2"/>
  <c r="AA46" i="2"/>
  <c r="Z46" i="2"/>
  <c r="W46" i="2"/>
  <c r="V46" i="2"/>
  <c r="V21" i="2"/>
  <c r="W3" i="2"/>
  <c r="X3" i="2" s="1"/>
  <c r="V3" i="2"/>
  <c r="AB38" i="2"/>
  <c r="AA38" i="2"/>
  <c r="Z38" i="2"/>
  <c r="Y38" i="2"/>
  <c r="X38" i="2"/>
  <c r="W38" i="2"/>
  <c r="V38" i="2"/>
  <c r="V37" i="2"/>
  <c r="W4" i="2"/>
  <c r="X4" i="2" s="1"/>
  <c r="Y4" i="2" s="1"/>
  <c r="Z4" i="2" s="1"/>
  <c r="AA4" i="2" s="1"/>
  <c r="AB4" i="2" s="1"/>
  <c r="V4" i="2"/>
  <c r="U118" i="2"/>
  <c r="T118" i="2"/>
  <c r="S118" i="2"/>
  <c r="R118" i="2"/>
  <c r="Q118" i="2"/>
  <c r="P118" i="2"/>
  <c r="J32" i="2"/>
  <c r="J30" i="2"/>
  <c r="J28" i="2"/>
  <c r="J27" i="2"/>
  <c r="J25" i="2"/>
  <c r="J24" i="2"/>
  <c r="J22" i="2"/>
  <c r="J21" i="2"/>
  <c r="J4" i="2"/>
  <c r="J3" i="2"/>
  <c r="K85" i="2"/>
  <c r="J85" i="2"/>
  <c r="L85" i="2"/>
  <c r="J77" i="2"/>
  <c r="J72" i="2"/>
  <c r="J67" i="2"/>
  <c r="J65" i="2"/>
  <c r="J59" i="2"/>
  <c r="I79" i="2"/>
  <c r="J79" i="2" s="1"/>
  <c r="I78" i="2"/>
  <c r="J78" i="2" s="1"/>
  <c r="I65" i="2"/>
  <c r="I64" i="2"/>
  <c r="J64" i="2" s="1"/>
  <c r="I54" i="2"/>
  <c r="J54" i="2" s="1"/>
  <c r="I53" i="2"/>
  <c r="E47" i="2"/>
  <c r="E46" i="2"/>
  <c r="I50" i="2"/>
  <c r="I49" i="2"/>
  <c r="I47" i="2"/>
  <c r="I46" i="2"/>
  <c r="I38" i="2"/>
  <c r="I37" i="2"/>
  <c r="S116" i="2"/>
  <c r="P61" i="2"/>
  <c r="P53" i="2"/>
  <c r="Q61" i="2"/>
  <c r="Q53" i="2"/>
  <c r="R69" i="2"/>
  <c r="R80" i="2"/>
  <c r="Q80" i="2"/>
  <c r="P80" i="2"/>
  <c r="Q69" i="2"/>
  <c r="P69" i="2"/>
  <c r="R61" i="2"/>
  <c r="R53" i="2"/>
  <c r="R47" i="2"/>
  <c r="Q47" i="2"/>
  <c r="P47" i="2"/>
  <c r="R46" i="2"/>
  <c r="Q46" i="2"/>
  <c r="P46" i="2"/>
  <c r="S38" i="2"/>
  <c r="R38" i="2"/>
  <c r="Q38" i="2"/>
  <c r="S37" i="2"/>
  <c r="R37" i="2"/>
  <c r="Q37" i="2"/>
  <c r="T20" i="2"/>
  <c r="T23" i="2" s="1"/>
  <c r="T26" i="2" s="1"/>
  <c r="T29" i="2" s="1"/>
  <c r="T31" i="2" s="1"/>
  <c r="T33" i="2" s="1"/>
  <c r="T35" i="2" s="1"/>
  <c r="S20" i="2"/>
  <c r="S23" i="2" s="1"/>
  <c r="S26" i="2" s="1"/>
  <c r="S29" i="2" s="1"/>
  <c r="S31" i="2" s="1"/>
  <c r="S33" i="2" s="1"/>
  <c r="S35" i="2" s="1"/>
  <c r="Q20" i="2"/>
  <c r="Q23" i="2" s="1"/>
  <c r="Q26" i="2" s="1"/>
  <c r="Q29" i="2" s="1"/>
  <c r="P20" i="2"/>
  <c r="P23" i="2" s="1"/>
  <c r="P26" i="2" s="1"/>
  <c r="P29" i="2" s="1"/>
  <c r="P31" i="2" s="1"/>
  <c r="P33" i="2" s="1"/>
  <c r="P35" i="2" s="1"/>
  <c r="U47" i="2"/>
  <c r="T47" i="2"/>
  <c r="S47" i="2"/>
  <c r="U46" i="2"/>
  <c r="T46" i="2"/>
  <c r="S46" i="2"/>
  <c r="U43" i="2"/>
  <c r="T43" i="2"/>
  <c r="U42" i="2"/>
  <c r="T42" i="2"/>
  <c r="U41" i="2"/>
  <c r="T41" i="2"/>
  <c r="U40" i="2"/>
  <c r="T40" i="2"/>
  <c r="T39" i="2"/>
  <c r="U39" i="2"/>
  <c r="S12" i="2"/>
  <c r="S11" i="2"/>
  <c r="S10" i="2"/>
  <c r="S9" i="2"/>
  <c r="S8" i="2"/>
  <c r="S7" i="2"/>
  <c r="S6" i="2"/>
  <c r="T12" i="2"/>
  <c r="T11" i="2"/>
  <c r="T10" i="2"/>
  <c r="T9" i="2"/>
  <c r="T8" i="2"/>
  <c r="T7" i="2"/>
  <c r="T6" i="2"/>
  <c r="U12" i="2"/>
  <c r="U11" i="2"/>
  <c r="U10" i="2"/>
  <c r="U9" i="2"/>
  <c r="U8" i="2"/>
  <c r="U7" i="2"/>
  <c r="U6" i="2"/>
  <c r="T80" i="2"/>
  <c r="S80" i="2"/>
  <c r="U80" i="2"/>
  <c r="T69" i="2"/>
  <c r="S69" i="2"/>
  <c r="U69" i="2"/>
  <c r="S61" i="2"/>
  <c r="S53" i="2"/>
  <c r="T61" i="2"/>
  <c r="T53" i="2"/>
  <c r="U61" i="2"/>
  <c r="J61" i="2" s="1"/>
  <c r="U53" i="2"/>
  <c r="J53" i="2" s="1"/>
  <c r="U38" i="2"/>
  <c r="T38" i="2"/>
  <c r="U37" i="2"/>
  <c r="T37" i="2"/>
  <c r="V20" i="2"/>
  <c r="U20" i="2"/>
  <c r="U23" i="2" s="1"/>
  <c r="U26" i="2" s="1"/>
  <c r="U29" i="2" s="1"/>
  <c r="U31" i="2" s="1"/>
  <c r="U33" i="2" s="1"/>
  <c r="U35" i="2" s="1"/>
  <c r="R20" i="2"/>
  <c r="R23" i="2" s="1"/>
  <c r="R26" i="2" s="1"/>
  <c r="R29" i="2" s="1"/>
  <c r="R31" i="2" s="1"/>
  <c r="R33" i="2" s="1"/>
  <c r="R35" i="2" s="1"/>
  <c r="S2" i="2"/>
  <c r="T2" i="2" s="1"/>
  <c r="U2" i="2" s="1"/>
  <c r="V2" i="2" s="1"/>
  <c r="W2" i="2" s="1"/>
  <c r="X2" i="2" s="1"/>
  <c r="Y2" i="2" s="1"/>
  <c r="Z2" i="2" s="1"/>
  <c r="AA2" i="2" s="1"/>
  <c r="AB2" i="2" s="1"/>
  <c r="G12" i="2"/>
  <c r="G11" i="2"/>
  <c r="G10" i="2"/>
  <c r="G9" i="2"/>
  <c r="G8" i="2"/>
  <c r="G7" i="2"/>
  <c r="G6" i="2"/>
  <c r="K12" i="2"/>
  <c r="K11" i="2"/>
  <c r="K10" i="2"/>
  <c r="K9" i="2"/>
  <c r="K8" i="2"/>
  <c r="K7" i="2"/>
  <c r="K6" i="2"/>
  <c r="G61" i="2"/>
  <c r="H61" i="2" s="1"/>
  <c r="I61" i="2" s="1"/>
  <c r="G53" i="2"/>
  <c r="H53" i="2" s="1"/>
  <c r="K80" i="2"/>
  <c r="G80" i="2"/>
  <c r="F80" i="2"/>
  <c r="E80" i="2"/>
  <c r="D80" i="2"/>
  <c r="C80" i="2"/>
  <c r="K61" i="2"/>
  <c r="L61" i="2" s="1"/>
  <c r="K53" i="2"/>
  <c r="L53" i="2" s="1"/>
  <c r="H88" i="2"/>
  <c r="L88" i="2"/>
  <c r="K47" i="2"/>
  <c r="K46" i="2"/>
  <c r="G47" i="2"/>
  <c r="G46" i="2"/>
  <c r="K43" i="2"/>
  <c r="K42" i="2"/>
  <c r="K41" i="2"/>
  <c r="K40" i="2"/>
  <c r="K39" i="2"/>
  <c r="K38" i="2"/>
  <c r="K37" i="2"/>
  <c r="H10" i="2"/>
  <c r="H12" i="2"/>
  <c r="H11" i="2"/>
  <c r="H9" i="2"/>
  <c r="H8" i="2"/>
  <c r="H7" i="2"/>
  <c r="H6" i="2"/>
  <c r="L12" i="2"/>
  <c r="L11" i="2"/>
  <c r="L10" i="2"/>
  <c r="L9" i="2"/>
  <c r="L8" i="2"/>
  <c r="L7" i="2"/>
  <c r="L6" i="2"/>
  <c r="L43" i="2"/>
  <c r="L42" i="2"/>
  <c r="H16" i="2"/>
  <c r="H15" i="2"/>
  <c r="H14" i="2"/>
  <c r="L16" i="2"/>
  <c r="L15" i="2"/>
  <c r="L14" i="2"/>
  <c r="H112" i="2"/>
  <c r="H96" i="2"/>
  <c r="H99" i="2" s="1"/>
  <c r="L112" i="2"/>
  <c r="L96" i="2"/>
  <c r="L99" i="2" s="1"/>
  <c r="H81" i="2"/>
  <c r="I81" i="2" s="1"/>
  <c r="J81" i="2" s="1"/>
  <c r="H79" i="2"/>
  <c r="H78" i="2"/>
  <c r="H76" i="2"/>
  <c r="I76" i="2" s="1"/>
  <c r="J76" i="2" s="1"/>
  <c r="H75" i="2"/>
  <c r="I75" i="2" s="1"/>
  <c r="J75" i="2" s="1"/>
  <c r="H74" i="2"/>
  <c r="I74" i="2" s="1"/>
  <c r="J74" i="2" s="1"/>
  <c r="H73" i="2"/>
  <c r="J73" i="2" s="1"/>
  <c r="H71" i="2"/>
  <c r="I71" i="2" s="1"/>
  <c r="J71" i="2" s="1"/>
  <c r="H68" i="2"/>
  <c r="I68" i="2" s="1"/>
  <c r="J68" i="2" s="1"/>
  <c r="H66" i="2"/>
  <c r="I66" i="2" s="1"/>
  <c r="J66" i="2" s="1"/>
  <c r="H65" i="2"/>
  <c r="H64" i="2"/>
  <c r="H60" i="2"/>
  <c r="I60" i="2" s="1"/>
  <c r="J60" i="2" s="1"/>
  <c r="H58" i="2"/>
  <c r="I58" i="2" s="1"/>
  <c r="J58" i="2" s="1"/>
  <c r="H57" i="2"/>
  <c r="I57" i="2" s="1"/>
  <c r="J57" i="2" s="1"/>
  <c r="H56" i="2"/>
  <c r="I56" i="2" s="1"/>
  <c r="J56" i="2" s="1"/>
  <c r="H55" i="2"/>
  <c r="I55" i="2" s="1"/>
  <c r="H54" i="2"/>
  <c r="H52" i="2"/>
  <c r="I52" i="2" s="1"/>
  <c r="J52" i="2" s="1"/>
  <c r="L81" i="2"/>
  <c r="L79" i="2"/>
  <c r="L78" i="2"/>
  <c r="L76" i="2"/>
  <c r="L75" i="2"/>
  <c r="L74" i="2"/>
  <c r="L73" i="2"/>
  <c r="L71" i="2"/>
  <c r="K69" i="2"/>
  <c r="G69" i="2"/>
  <c r="F69" i="2"/>
  <c r="E69" i="2"/>
  <c r="D69" i="2"/>
  <c r="C69" i="2"/>
  <c r="L68" i="2"/>
  <c r="L66" i="2"/>
  <c r="L65" i="2"/>
  <c r="L64" i="2"/>
  <c r="F62" i="2"/>
  <c r="E62" i="2"/>
  <c r="D62" i="2"/>
  <c r="C62" i="2"/>
  <c r="L60" i="2"/>
  <c r="L58" i="2"/>
  <c r="L57" i="2"/>
  <c r="L56" i="2"/>
  <c r="L55" i="2"/>
  <c r="L54" i="2"/>
  <c r="L52" i="2"/>
  <c r="H47" i="2"/>
  <c r="H46" i="2"/>
  <c r="L47" i="2"/>
  <c r="L46" i="2"/>
  <c r="L38" i="2"/>
  <c r="L37" i="2"/>
  <c r="K20" i="2"/>
  <c r="K23" i="2" s="1"/>
  <c r="K26" i="2" s="1"/>
  <c r="K29" i="2" s="1"/>
  <c r="K31" i="2" s="1"/>
  <c r="K33" i="2" s="1"/>
  <c r="K35" i="2" s="1"/>
  <c r="J20" i="2"/>
  <c r="J23" i="2" s="1"/>
  <c r="J26" i="2" s="1"/>
  <c r="J29" i="2" s="1"/>
  <c r="J31" i="2" s="1"/>
  <c r="I20" i="2"/>
  <c r="I23" i="2" s="1"/>
  <c r="I26" i="2" s="1"/>
  <c r="I29" i="2" s="1"/>
  <c r="I31" i="2" s="1"/>
  <c r="I33" i="2" s="1"/>
  <c r="I35" i="2" s="1"/>
  <c r="H20" i="2"/>
  <c r="H23" i="2" s="1"/>
  <c r="G20" i="2"/>
  <c r="G23" i="2" s="1"/>
  <c r="G26" i="2" s="1"/>
  <c r="G29" i="2" s="1"/>
  <c r="G31" i="2" s="1"/>
  <c r="G33" i="2" s="1"/>
  <c r="G35" i="2" s="1"/>
  <c r="F20" i="2"/>
  <c r="F23" i="2" s="1"/>
  <c r="F26" i="2" s="1"/>
  <c r="F29" i="2" s="1"/>
  <c r="F31" i="2" s="1"/>
  <c r="F33" i="2" s="1"/>
  <c r="F35" i="2" s="1"/>
  <c r="E20" i="2"/>
  <c r="E23" i="2" s="1"/>
  <c r="E26" i="2" s="1"/>
  <c r="E29" i="2" s="1"/>
  <c r="E31" i="2" s="1"/>
  <c r="D20" i="2"/>
  <c r="D23" i="2" s="1"/>
  <c r="D26" i="2" s="1"/>
  <c r="D29" i="2" s="1"/>
  <c r="D31" i="2" s="1"/>
  <c r="D33" i="2" s="1"/>
  <c r="D35" i="2" s="1"/>
  <c r="C20" i="2"/>
  <c r="C23" i="2" s="1"/>
  <c r="C26" i="2" s="1"/>
  <c r="C29" i="2" s="1"/>
  <c r="C31" i="2" s="1"/>
  <c r="C33" i="2" s="1"/>
  <c r="C35" i="2" s="1"/>
  <c r="L20" i="2"/>
  <c r="L7" i="1"/>
  <c r="L6" i="1"/>
  <c r="L3" i="1" a="1"/>
  <c r="L3" i="1" s="1"/>
  <c r="L5" i="1" s="1"/>
  <c r="L8" i="1" s="1"/>
  <c r="L10" i="1" s="1"/>
  <c r="V23" i="2" l="1"/>
  <c r="W20" i="2"/>
  <c r="W23" i="2" s="1"/>
  <c r="W37" i="2"/>
  <c r="X37" i="2"/>
  <c r="Y3" i="2"/>
  <c r="V44" i="2"/>
  <c r="Y20" i="2"/>
  <c r="X20" i="2"/>
  <c r="J33" i="2"/>
  <c r="J35" i="2" s="1"/>
  <c r="J55" i="2"/>
  <c r="J62" i="2"/>
  <c r="J84" i="2" s="1"/>
  <c r="J69" i="2"/>
  <c r="L39" i="2"/>
  <c r="L40" i="2"/>
  <c r="R48" i="2"/>
  <c r="I44" i="2"/>
  <c r="E48" i="2"/>
  <c r="P52" i="2"/>
  <c r="E49" i="2"/>
  <c r="J80" i="2"/>
  <c r="E33" i="2"/>
  <c r="Q116" i="2"/>
  <c r="S62" i="2"/>
  <c r="S84" i="2" s="1"/>
  <c r="S86" i="2" s="1"/>
  <c r="R116" i="2"/>
  <c r="I48" i="2"/>
  <c r="I80" i="2"/>
  <c r="I69" i="2"/>
  <c r="I62" i="2"/>
  <c r="I84" i="2" s="1"/>
  <c r="I86" i="2" s="1"/>
  <c r="P62" i="2"/>
  <c r="P49" i="2"/>
  <c r="Q49" i="2"/>
  <c r="R49" i="2"/>
  <c r="Q44" i="2"/>
  <c r="P50" i="2"/>
  <c r="R44" i="2"/>
  <c r="S44" i="2"/>
  <c r="P48" i="2"/>
  <c r="R50" i="2"/>
  <c r="Q31" i="2"/>
  <c r="Q52" i="2" s="1"/>
  <c r="Q62" i="2" s="1"/>
  <c r="Q48" i="2"/>
  <c r="R52" i="2"/>
  <c r="R62" i="2" s="1"/>
  <c r="L41" i="2"/>
  <c r="S49" i="2"/>
  <c r="U49" i="2"/>
  <c r="S50" i="2"/>
  <c r="T50" i="2"/>
  <c r="S48" i="2"/>
  <c r="U50" i="2"/>
  <c r="T49" i="2"/>
  <c r="T48" i="2"/>
  <c r="T116" i="2"/>
  <c r="U48" i="2"/>
  <c r="U116" i="2"/>
  <c r="T44" i="2"/>
  <c r="U44" i="2"/>
  <c r="U62" i="2"/>
  <c r="K44" i="2"/>
  <c r="K48" i="2"/>
  <c r="K49" i="2"/>
  <c r="K50" i="2"/>
  <c r="G50" i="2"/>
  <c r="G48" i="2"/>
  <c r="G49" i="2"/>
  <c r="T62" i="2"/>
  <c r="H80" i="2"/>
  <c r="G62" i="2"/>
  <c r="G84" i="2" s="1"/>
  <c r="G86" i="2" s="1"/>
  <c r="K62" i="2"/>
  <c r="L114" i="2"/>
  <c r="L69" i="2"/>
  <c r="D82" i="2"/>
  <c r="L44" i="2"/>
  <c r="E82" i="2"/>
  <c r="L62" i="2"/>
  <c r="L84" i="2" s="1"/>
  <c r="F82" i="2"/>
  <c r="C82" i="2"/>
  <c r="L80" i="2"/>
  <c r="L23" i="2"/>
  <c r="L48" i="2" s="1"/>
  <c r="J82" i="2"/>
  <c r="H48" i="2"/>
  <c r="H26" i="2"/>
  <c r="H114" i="2"/>
  <c r="H69" i="2"/>
  <c r="H62" i="2"/>
  <c r="H84" i="2" s="1"/>
  <c r="H86" i="2" s="1"/>
  <c r="W26" i="2" l="1"/>
  <c r="W48" i="2"/>
  <c r="V26" i="2"/>
  <c r="V29" i="2" s="1"/>
  <c r="V48" i="2"/>
  <c r="W44" i="2"/>
  <c r="Y37" i="2"/>
  <c r="Z3" i="2"/>
  <c r="X23" i="2"/>
  <c r="X44" i="2"/>
  <c r="Y23" i="2"/>
  <c r="Y44" i="2"/>
  <c r="Z20" i="2"/>
  <c r="Q82" i="2"/>
  <c r="Q84" i="2"/>
  <c r="Q86" i="2" s="1"/>
  <c r="S82" i="2"/>
  <c r="P82" i="2"/>
  <c r="P84" i="2"/>
  <c r="P86" i="2" s="1"/>
  <c r="J86" i="2"/>
  <c r="E35" i="2"/>
  <c r="E50" i="2"/>
  <c r="R82" i="2"/>
  <c r="R84" i="2"/>
  <c r="R86" i="2" s="1"/>
  <c r="I82" i="2"/>
  <c r="Q33" i="2"/>
  <c r="U84" i="2"/>
  <c r="U86" i="2" s="1"/>
  <c r="U82" i="2"/>
  <c r="T84" i="2"/>
  <c r="T86" i="2" s="1"/>
  <c r="T82" i="2"/>
  <c r="L86" i="2"/>
  <c r="K82" i="2"/>
  <c r="K84" i="2"/>
  <c r="K86" i="2" s="1"/>
  <c r="G82" i="2"/>
  <c r="L26" i="2"/>
  <c r="L49" i="2" s="1"/>
  <c r="L82" i="2"/>
  <c r="H49" i="2"/>
  <c r="H29" i="2"/>
  <c r="H31" i="2" s="1"/>
  <c r="H33" i="2" s="1"/>
  <c r="H82" i="2"/>
  <c r="V30" i="2" l="1"/>
  <c r="V31" i="2" s="1"/>
  <c r="V33" i="2" s="1"/>
  <c r="Y26" i="2"/>
  <c r="Y49" i="2" s="1"/>
  <c r="Y48" i="2"/>
  <c r="X26" i="2"/>
  <c r="X49" i="2" s="1"/>
  <c r="X48" i="2"/>
  <c r="AA3" i="2"/>
  <c r="Z37" i="2"/>
  <c r="Z23" i="2"/>
  <c r="Z44" i="2"/>
  <c r="Q35" i="2"/>
  <c r="Q50" i="2"/>
  <c r="L29" i="2"/>
  <c r="L31" i="2" s="1"/>
  <c r="L33" i="2" s="1"/>
  <c r="L35" i="2" s="1"/>
  <c r="H35" i="2"/>
  <c r="H50" i="2"/>
  <c r="V88" i="2" l="1"/>
  <c r="W28" i="2" s="1"/>
  <c r="V35" i="2"/>
  <c r="V50" i="2"/>
  <c r="Z26" i="2"/>
  <c r="Z49" i="2" s="1"/>
  <c r="Z48" i="2"/>
  <c r="AB3" i="2"/>
  <c r="AB20" i="2" s="1"/>
  <c r="AA37" i="2"/>
  <c r="AA20" i="2"/>
  <c r="AA23" i="2"/>
  <c r="AA44" i="2"/>
  <c r="L50" i="2"/>
  <c r="W29" i="2" l="1"/>
  <c r="W30" i="2" s="1"/>
  <c r="W31" i="2" s="1"/>
  <c r="W33" i="2" s="1"/>
  <c r="AA26" i="2"/>
  <c r="AA49" i="2" s="1"/>
  <c r="AA48" i="2"/>
  <c r="AB37" i="2"/>
  <c r="AB23" i="2"/>
  <c r="AB44" i="2"/>
  <c r="W35" i="2" l="1"/>
  <c r="W50" i="2"/>
  <c r="W88" i="2"/>
  <c r="X28" i="2" s="1"/>
  <c r="AB26" i="2"/>
  <c r="AB49" i="2" s="1"/>
  <c r="AB48" i="2"/>
  <c r="X29" i="2" l="1"/>
  <c r="X30" i="2" s="1"/>
  <c r="X31" i="2" s="1"/>
  <c r="X33" i="2" s="1"/>
  <c r="X35" i="2" l="1"/>
  <c r="X50" i="2"/>
  <c r="X88" i="2"/>
  <c r="Y28" i="2" s="1"/>
  <c r="Y29" i="2" l="1"/>
  <c r="Y30" i="2" s="1"/>
  <c r="Y31" i="2" s="1"/>
  <c r="Y33" i="2" s="1"/>
  <c r="Y88" i="2" l="1"/>
  <c r="Z28" i="2" s="1"/>
  <c r="Z29" i="2" s="1"/>
  <c r="Z30" i="2" s="1"/>
  <c r="Z31" i="2" s="1"/>
  <c r="Z33" i="2" s="1"/>
  <c r="Y35" i="2"/>
  <c r="Y50" i="2"/>
  <c r="Z50" i="2" l="1"/>
  <c r="Z35" i="2"/>
  <c r="Z88" i="2"/>
  <c r="AA28" i="2" s="1"/>
  <c r="AA29" i="2" l="1"/>
  <c r="AA30" i="2" s="1"/>
  <c r="AA31" i="2" s="1"/>
  <c r="AA33" i="2" s="1"/>
  <c r="AA50" i="2" l="1"/>
  <c r="AA35" i="2"/>
  <c r="AA88" i="2"/>
  <c r="AB28" i="2" l="1"/>
  <c r="AB29" i="2" s="1"/>
  <c r="AB30" i="2" s="1"/>
  <c r="AB31" i="2" s="1"/>
  <c r="AB33" i="2" s="1"/>
  <c r="AC33" i="2" s="1"/>
  <c r="AD33" i="2" s="1"/>
  <c r="AE33" i="2" s="1"/>
  <c r="AF33" i="2" s="1"/>
  <c r="AG33" i="2" s="1"/>
  <c r="AH33" i="2" s="1"/>
  <c r="AI33" i="2" s="1"/>
  <c r="AJ33" i="2" s="1"/>
  <c r="AK33" i="2" s="1"/>
  <c r="AL33" i="2" s="1"/>
  <c r="AM33" i="2" s="1"/>
  <c r="AN33" i="2" s="1"/>
  <c r="AO33" i="2" s="1"/>
  <c r="AP33" i="2" s="1"/>
  <c r="AQ33" i="2" s="1"/>
  <c r="AR33" i="2" s="1"/>
  <c r="AS33" i="2" s="1"/>
  <c r="AT33" i="2" s="1"/>
  <c r="AU33" i="2" s="1"/>
  <c r="AV33" i="2" s="1"/>
  <c r="AW33" i="2" s="1"/>
  <c r="AX33" i="2" s="1"/>
  <c r="AY33" i="2" s="1"/>
  <c r="AZ33" i="2" s="1"/>
  <c r="BA33" i="2" s="1"/>
  <c r="BB33" i="2" s="1"/>
  <c r="BC33" i="2" s="1"/>
  <c r="BD33" i="2" s="1"/>
  <c r="BE33" i="2" s="1"/>
  <c r="BF33" i="2" s="1"/>
  <c r="BG33" i="2" s="1"/>
  <c r="BH33" i="2" s="1"/>
  <c r="BI33" i="2" s="1"/>
  <c r="BJ33" i="2" s="1"/>
  <c r="BK33" i="2" s="1"/>
  <c r="BL33" i="2" s="1"/>
  <c r="BM33" i="2" s="1"/>
  <c r="BN33" i="2" s="1"/>
  <c r="BO33" i="2" s="1"/>
  <c r="BP33" i="2" s="1"/>
  <c r="BQ33" i="2" s="1"/>
  <c r="BR33" i="2" s="1"/>
  <c r="BS33" i="2" s="1"/>
  <c r="BT33" i="2" s="1"/>
  <c r="BU33" i="2" s="1"/>
  <c r="BV33" i="2" s="1"/>
  <c r="BW33" i="2" s="1"/>
  <c r="BX33" i="2" s="1"/>
  <c r="BY33" i="2" s="1"/>
  <c r="BZ33" i="2" s="1"/>
  <c r="CA33" i="2" s="1"/>
  <c r="CB33" i="2" s="1"/>
  <c r="CC33" i="2" s="1"/>
  <c r="CD33" i="2" s="1"/>
  <c r="CE33" i="2" s="1"/>
  <c r="CF33" i="2" s="1"/>
  <c r="CG33" i="2" s="1"/>
  <c r="CH33" i="2" s="1"/>
  <c r="CI33" i="2" s="1"/>
  <c r="CJ33" i="2" s="1"/>
  <c r="CK33" i="2" s="1"/>
  <c r="CL33" i="2" s="1"/>
  <c r="CM33" i="2" s="1"/>
  <c r="CN33" i="2" s="1"/>
  <c r="CO33" i="2" s="1"/>
  <c r="CP33" i="2" s="1"/>
  <c r="CQ33" i="2" s="1"/>
  <c r="CR33" i="2" s="1"/>
  <c r="CS33" i="2" s="1"/>
  <c r="CT33" i="2" s="1"/>
  <c r="CU33" i="2" s="1"/>
  <c r="CV33" i="2" s="1"/>
  <c r="CW33" i="2" s="1"/>
  <c r="CX33" i="2" s="1"/>
  <c r="CY33" i="2" s="1"/>
  <c r="CZ33" i="2" s="1"/>
  <c r="DA33" i="2" s="1"/>
  <c r="DB33" i="2" s="1"/>
  <c r="DC33" i="2" s="1"/>
  <c r="DD33" i="2" s="1"/>
  <c r="DE33" i="2" s="1"/>
  <c r="DF33" i="2" s="1"/>
  <c r="DG33" i="2" s="1"/>
  <c r="DH33" i="2" s="1"/>
  <c r="DI33" i="2" s="1"/>
  <c r="AE6" i="2" s="1"/>
  <c r="AE7" i="2" s="1"/>
  <c r="AB88" i="2" l="1"/>
  <c r="AB50" i="2"/>
  <c r="AB3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V20" authorId="0" shapeId="0" xr:uid="{C37EEDC0-DDE3-47D0-909C-2979E5A07150}">
      <text>
        <r>
          <rPr>
            <b/>
            <sz val="9"/>
            <color indexed="81"/>
            <rFont val="Tahoma"/>
            <family val="2"/>
          </rPr>
          <t>alexa:</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<sst xmlns="http://schemas.openxmlformats.org/spreadsheetml/2006/main" count="140" uniqueCount="126">
  <si>
    <t>Ticket</t>
  </si>
  <si>
    <t>Price</t>
  </si>
  <si>
    <t>Shares</t>
  </si>
  <si>
    <t>MC</t>
  </si>
  <si>
    <t xml:space="preserve">Cash </t>
  </si>
  <si>
    <t>Debt</t>
  </si>
  <si>
    <t>EV</t>
  </si>
  <si>
    <t>main</t>
  </si>
  <si>
    <t>Q1 2022</t>
  </si>
  <si>
    <t>Q2 2022</t>
  </si>
  <si>
    <t>Q3 2022</t>
  </si>
  <si>
    <t>Q4 2022</t>
  </si>
  <si>
    <t>Q1 2023</t>
  </si>
  <si>
    <t>Q2 2023</t>
  </si>
  <si>
    <t>Q3 2023</t>
  </si>
  <si>
    <t>Q4 2023</t>
  </si>
  <si>
    <t>Q1 2024</t>
  </si>
  <si>
    <t>Q2 2024</t>
  </si>
  <si>
    <t>Q3 2024</t>
  </si>
  <si>
    <t>Product and Equipment Sales</t>
  </si>
  <si>
    <t>Service and lease sales</t>
  </si>
  <si>
    <t>Revenue</t>
  </si>
  <si>
    <t>COGS PES</t>
  </si>
  <si>
    <t>COGS SLS</t>
  </si>
  <si>
    <t>Gross Profit</t>
  </si>
  <si>
    <t>S,G&amp;A</t>
  </si>
  <si>
    <t>(Millions USD)</t>
  </si>
  <si>
    <t>Special Gians</t>
  </si>
  <si>
    <t>Operating Income</t>
  </si>
  <si>
    <t>Pretax Income</t>
  </si>
  <si>
    <t>Taxes</t>
  </si>
  <si>
    <t>Net Income including Non-controlling</t>
  </si>
  <si>
    <t>Noncontrolling interest</t>
  </si>
  <si>
    <t>Net Income to ECOLAB shareholders</t>
  </si>
  <si>
    <t>EPS</t>
  </si>
  <si>
    <t>Other expenses</t>
  </si>
  <si>
    <t>Net Interest expenses</t>
  </si>
  <si>
    <t>Revenue y/y</t>
  </si>
  <si>
    <t>PES Gross Margin</t>
  </si>
  <si>
    <t>SLS Gross Margin</t>
  </si>
  <si>
    <t>Gross Margin</t>
  </si>
  <si>
    <t>Operating Margin</t>
  </si>
  <si>
    <t>Net Margin</t>
  </si>
  <si>
    <t>D&amp;A</t>
  </si>
  <si>
    <t>Deferred Income taxes</t>
  </si>
  <si>
    <t>SBC</t>
  </si>
  <si>
    <t>Pension and postretirement plans contributions</t>
  </si>
  <si>
    <t>Pension and postretirement plans expense(income)</t>
  </si>
  <si>
    <t>Restructuring charges</t>
  </si>
  <si>
    <t>Other</t>
  </si>
  <si>
    <t>NWC</t>
  </si>
  <si>
    <t>CFFO</t>
  </si>
  <si>
    <t>Capital Expenditures</t>
  </si>
  <si>
    <t>Property and assets sold</t>
  </si>
  <si>
    <t>Acquisitions</t>
  </si>
  <si>
    <t>CFFI</t>
  </si>
  <si>
    <t>Net issuances of commercial papers</t>
  </si>
  <si>
    <t>LT Debt repayments</t>
  </si>
  <si>
    <t>Shares Buybacks</t>
  </si>
  <si>
    <t>Dividends paid</t>
  </si>
  <si>
    <t>Employee stock options exercised</t>
  </si>
  <si>
    <t>Hedge settlements</t>
  </si>
  <si>
    <t xml:space="preserve">Other </t>
  </si>
  <si>
    <t>CFFF</t>
  </si>
  <si>
    <t>Fx</t>
  </si>
  <si>
    <t>Net Change in cash</t>
  </si>
  <si>
    <t>FCF</t>
  </si>
  <si>
    <t>Net Cash</t>
  </si>
  <si>
    <t>Cash</t>
  </si>
  <si>
    <t>AR</t>
  </si>
  <si>
    <t>Inventories</t>
  </si>
  <si>
    <t>Other CA</t>
  </si>
  <si>
    <t>Goodwill + Intangiles</t>
  </si>
  <si>
    <t>Operating lease assets</t>
  </si>
  <si>
    <t>Other Assets</t>
  </si>
  <si>
    <t>Total Assets</t>
  </si>
  <si>
    <t>ST Debt</t>
  </si>
  <si>
    <t>AP</t>
  </si>
  <si>
    <t>Compensation and benefits</t>
  </si>
  <si>
    <t>Income Taxes</t>
  </si>
  <si>
    <t>AHFS</t>
  </si>
  <si>
    <t>LHFS</t>
  </si>
  <si>
    <t>Other CL</t>
  </si>
  <si>
    <t>LT Debt</t>
  </si>
  <si>
    <t>Pension and postretirement benefits</t>
  </si>
  <si>
    <t>Operating lease liabilites</t>
  </si>
  <si>
    <t>Other Liabilities</t>
  </si>
  <si>
    <t>Total Liabilities</t>
  </si>
  <si>
    <t>S/E</t>
  </si>
  <si>
    <t>SBC % FCF</t>
  </si>
  <si>
    <t>US</t>
  </si>
  <si>
    <t>Europe</t>
  </si>
  <si>
    <t>Latin America</t>
  </si>
  <si>
    <t>Greater China</t>
  </si>
  <si>
    <t>India, ME and Africa</t>
  </si>
  <si>
    <t>Industrial</t>
  </si>
  <si>
    <t>Institutional &amp; Speciality</t>
  </si>
  <si>
    <t>Healthcare &amp; Life Sciences</t>
  </si>
  <si>
    <t>Pest Elimination</t>
  </si>
  <si>
    <t>Corporate</t>
  </si>
  <si>
    <t>Debt Refinancing</t>
  </si>
  <si>
    <t>LT Debt borrowings</t>
  </si>
  <si>
    <t>EV/FCF</t>
  </si>
  <si>
    <t>Canada</t>
  </si>
  <si>
    <t>PP&amp;E</t>
  </si>
  <si>
    <t>Contribution Margin</t>
  </si>
  <si>
    <t>Divesture of businesses</t>
  </si>
  <si>
    <t>TTM FCF</t>
  </si>
  <si>
    <t>Founded</t>
  </si>
  <si>
    <t>Founder</t>
  </si>
  <si>
    <t>CEO</t>
  </si>
  <si>
    <t>HQ</t>
  </si>
  <si>
    <t>IPO</t>
  </si>
  <si>
    <t>Industry</t>
  </si>
  <si>
    <t>Merrit J. Osbron</t>
  </si>
  <si>
    <t>water treatment, hygiene and infection prevention</t>
  </si>
  <si>
    <t>Christophe Beck</t>
  </si>
  <si>
    <t>St. Paul, Minnesota, US</t>
  </si>
  <si>
    <t>Notes:</t>
  </si>
  <si>
    <t>Inorgarnic revenue growth, revenue growth based on acquisitions</t>
  </si>
  <si>
    <t>Strong contribuition margins showing good synergies after acquiring companies</t>
  </si>
  <si>
    <t>S,G&amp;A % sales</t>
  </si>
  <si>
    <t>Discount</t>
  </si>
  <si>
    <t>Maturity</t>
  </si>
  <si>
    <t>ROIC</t>
  </si>
  <si>
    <t>NPV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</si>
</sst>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_-[$$-409]* #,##0.00_ ;_-[$$-409]* \-#,##0.00\ ;_-[$$-409]* &quot;-&quot;??_ ;_-@_ "/>
    <numFmt numFmtId="166" formatCode="0.0%"/>
    <numFmt numFmtId="167" formatCode="0.0\x"/>
  </numFmts>
  <fonts count="7" x14ac:knownFonts="1">
    <font>
      <sz val="11"/>
      <color theme="1"/>
      <name val="Aptos Narrow"/>
      <family val="2"/>
      <scheme val="minor"/>
    </font>
    <font>
      <sz val="10"/>
      <color theme="1"/>
      <name val="Arial"/>
      <family val="2"/>
    </font>
    <font>
      <u/>
      <sz val="11"/>
      <color theme="10"/>
      <name val="Aptos Narrow"/>
      <family val="2"/>
      <scheme val="minor"/>
    </font>
    <font>
      <u/>
      <sz val="10"/>
      <color theme="10"/>
      <name val="Arial"/>
      <family val="2"/>
    </font>
    <font>
      <b/>
      <sz val="10"/>
      <color theme="1"/>
      <name val="Arial"/>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164" fontId="1" fillId="0" borderId="0" xfId="0" applyNumberFormat="1" applyFont="1"/>
    <xf numFmtId="3" fontId="1" fillId="0" borderId="0" xfId="0" applyNumberFormat="1" applyFont="1"/>
    <xf numFmtId="0" fontId="3" fillId="0" borderId="0" xfId="1" applyFont="1"/>
    <xf numFmtId="0" fontId="4" fillId="0" borderId="0" xfId="0" applyFont="1"/>
    <xf numFmtId="3" fontId="4" fillId="0" borderId="0" xfId="0" applyNumberFormat="1" applyFont="1"/>
    <xf numFmtId="165" fontId="1" fillId="0" borderId="0" xfId="0" applyNumberFormat="1" applyFont="1"/>
    <xf numFmtId="9" fontId="1" fillId="0" borderId="0" xfId="0" applyNumberFormat="1" applyFont="1"/>
    <xf numFmtId="166" fontId="1" fillId="0" borderId="0" xfId="0" applyNumberFormat="1" applyFont="1"/>
    <xf numFmtId="9" fontId="4" fillId="0" borderId="0" xfId="0" applyNumberFormat="1" applyFont="1"/>
    <xf numFmtId="167" fontId="1" fillId="0" borderId="0" xfId="0" applyNumberFormat="1" applyFont="1"/>
    <xf numFmtId="3" fontId="4" fillId="2" borderId="0" xfId="0" applyNumberFormat="1" applyFont="1" applyFill="1"/>
    <xf numFmtId="0" fontId="1" fillId="0" borderId="0" xfId="0" applyFont="1" applyAlignment="1">
      <alignment horizontal="left"/>
    </xf>
    <xf numFmtId="0" fontId="4" fillId="0" borderId="0" xfId="0" applyFont="1" applyAlignment="1">
      <alignment horizontal="left" vertical="top"/>
    </xf>
    <xf numFmtId="166" fontId="4" fillId="0" borderId="0" xfId="0" applyNumberFormat="1" applyFont="1"/>
    <xf numFmtId="10"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Revenue By Geography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A8C-4B94-8FA3-14E1CDFEDF5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A8C-4B94-8FA3-14E1CDFEDF5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A8C-4B94-8FA3-14E1CDFEDF5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A8C-4B94-8FA3-14E1CDFEDF50}"/>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A8C-4B94-8FA3-14E1CDFEDF50}"/>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9A8C-4B94-8FA3-14E1CDFEDF5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9A8C-4B94-8FA3-14E1CDFEDF50}"/>
              </c:ext>
            </c:extLst>
          </c:dPt>
          <c:dLbls>
            <c:dLbl>
              <c:idx val="2"/>
              <c:layout>
                <c:manualLayout>
                  <c:x val="8.2349858418609488E-4"/>
                  <c:y val="1.455329510324324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A8C-4B94-8FA3-14E1CDFEDF50}"/>
                </c:ext>
              </c:extLst>
            </c:dLbl>
            <c:dLbl>
              <c:idx val="3"/>
              <c:layout>
                <c:manualLayout>
                  <c:x val="-4.0918504090648412E-3"/>
                  <c:y val="4.360320009204997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9A8C-4B94-8FA3-14E1CDFEDF50}"/>
                </c:ext>
              </c:extLst>
            </c:dLbl>
            <c:dLbl>
              <c:idx val="4"/>
              <c:layout>
                <c:manualLayout>
                  <c:x val="1.046802125016296E-3"/>
                  <c:y val="4.544504664262762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A8C-4B94-8FA3-14E1CDFEDF50}"/>
                </c:ext>
              </c:extLst>
            </c:dLbl>
            <c:dLbl>
              <c:idx val="5"/>
              <c:layout>
                <c:manualLayout>
                  <c:x val="1.4793592470503734E-2"/>
                  <c:y val="1.609479460492097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9A8C-4B94-8FA3-14E1CDFEDF50}"/>
                </c:ext>
              </c:extLst>
            </c:dLbl>
            <c:dLbl>
              <c:idx val="6"/>
              <c:layout>
                <c:manualLayout>
                  <c:x val="7.0207060612220316E-3"/>
                  <c:y val="2.1569994399162321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9A8C-4B94-8FA3-14E1CDFEDF50}"/>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model!$B$6:$B$12</c:f>
              <c:strCache>
                <c:ptCount val="7"/>
                <c:pt idx="0">
                  <c:v>US</c:v>
                </c:pt>
                <c:pt idx="1">
                  <c:v>Europe</c:v>
                </c:pt>
                <c:pt idx="2">
                  <c:v>AP</c:v>
                </c:pt>
                <c:pt idx="3">
                  <c:v>Latin America</c:v>
                </c:pt>
                <c:pt idx="4">
                  <c:v>Greater China</c:v>
                </c:pt>
                <c:pt idx="5">
                  <c:v>India, ME and Africa</c:v>
                </c:pt>
                <c:pt idx="6">
                  <c:v>Canada</c:v>
                </c:pt>
              </c:strCache>
            </c:strRef>
          </c:cat>
          <c:val>
            <c:numRef>
              <c:f>model!$L$6:$L$12</c:f>
              <c:numCache>
                <c:formatCode>#,##0</c:formatCode>
                <c:ptCount val="7"/>
                <c:pt idx="0">
                  <c:v>2145.6</c:v>
                </c:pt>
                <c:pt idx="1">
                  <c:v>823.30000000000007</c:v>
                </c:pt>
                <c:pt idx="2">
                  <c:v>324.8</c:v>
                </c:pt>
                <c:pt idx="3">
                  <c:v>265.29999999999995</c:v>
                </c:pt>
                <c:pt idx="4">
                  <c:v>169.70000000000002</c:v>
                </c:pt>
                <c:pt idx="5">
                  <c:v>138.89999999999998</c:v>
                </c:pt>
                <c:pt idx="6">
                  <c:v>118.2</c:v>
                </c:pt>
              </c:numCache>
            </c:numRef>
          </c:val>
          <c:extLst>
            <c:ext xmlns:c16="http://schemas.microsoft.com/office/drawing/2014/chart" uri="{C3380CC4-5D6E-409C-BE32-E72D297353CC}">
              <c16:uniqueId val="{0000000E-9A8C-4B94-8FA3-14E1CDFEDF5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model!$B$3</c:f>
              <c:strCache>
                <c:ptCount val="1"/>
                <c:pt idx="0">
                  <c:v>Product and Equipment Sales</c:v>
                </c:pt>
              </c:strCache>
            </c:strRef>
          </c:tx>
          <c:spPr>
            <a:solidFill>
              <a:schemeClr val="accent1"/>
            </a:solidFill>
            <a:ln>
              <a:noFill/>
            </a:ln>
            <a:effectLst/>
          </c:spPr>
          <c:invertIfNegative val="0"/>
          <c:cat>
            <c:numRef>
              <c:f>model!$P$2:$U$2</c:f>
              <c:numCache>
                <c:formatCode>General</c:formatCode>
                <c:ptCount val="6"/>
                <c:pt idx="0">
                  <c:v>2018</c:v>
                </c:pt>
                <c:pt idx="1">
                  <c:v>2019</c:v>
                </c:pt>
                <c:pt idx="2">
                  <c:v>2020</c:v>
                </c:pt>
                <c:pt idx="3">
                  <c:v>2021</c:v>
                </c:pt>
                <c:pt idx="4">
                  <c:v>2022</c:v>
                </c:pt>
                <c:pt idx="5">
                  <c:v>2023</c:v>
                </c:pt>
              </c:numCache>
            </c:numRef>
          </c:cat>
          <c:val>
            <c:numRef>
              <c:f>model!$P$3:$U$3</c:f>
              <c:numCache>
                <c:formatCode>#,##0</c:formatCode>
                <c:ptCount val="6"/>
                <c:pt idx="0">
                  <c:v>9903.6</c:v>
                </c:pt>
                <c:pt idx="1">
                  <c:v>10129</c:v>
                </c:pt>
                <c:pt idx="2">
                  <c:v>9466.6</c:v>
                </c:pt>
                <c:pt idx="3">
                  <c:v>10153.299999999999</c:v>
                </c:pt>
                <c:pt idx="4">
                  <c:v>11446.2</c:v>
                </c:pt>
                <c:pt idx="5">
                  <c:v>12316.8</c:v>
                </c:pt>
              </c:numCache>
            </c:numRef>
          </c:val>
          <c:extLst>
            <c:ext xmlns:c16="http://schemas.microsoft.com/office/drawing/2014/chart" uri="{C3380CC4-5D6E-409C-BE32-E72D297353CC}">
              <c16:uniqueId val="{00000000-DC7D-4A76-8DCA-1A01E749A324}"/>
            </c:ext>
          </c:extLst>
        </c:ser>
        <c:ser>
          <c:idx val="1"/>
          <c:order val="1"/>
          <c:tx>
            <c:strRef>
              <c:f>model!$B$4</c:f>
              <c:strCache>
                <c:ptCount val="1"/>
                <c:pt idx="0">
                  <c:v>Service and lease sales</c:v>
                </c:pt>
              </c:strCache>
            </c:strRef>
          </c:tx>
          <c:spPr>
            <a:solidFill>
              <a:schemeClr val="accent2"/>
            </a:solidFill>
            <a:ln>
              <a:noFill/>
            </a:ln>
            <a:effectLst/>
          </c:spPr>
          <c:invertIfNegative val="0"/>
          <c:cat>
            <c:numRef>
              <c:f>model!$P$2:$U$2</c:f>
              <c:numCache>
                <c:formatCode>General</c:formatCode>
                <c:ptCount val="6"/>
                <c:pt idx="0">
                  <c:v>2018</c:v>
                </c:pt>
                <c:pt idx="1">
                  <c:v>2019</c:v>
                </c:pt>
                <c:pt idx="2">
                  <c:v>2020</c:v>
                </c:pt>
                <c:pt idx="3">
                  <c:v>2021</c:v>
                </c:pt>
                <c:pt idx="4">
                  <c:v>2022</c:v>
                </c:pt>
                <c:pt idx="5">
                  <c:v>2023</c:v>
                </c:pt>
              </c:numCache>
            </c:numRef>
          </c:cat>
          <c:val>
            <c:numRef>
              <c:f>model!$P$4:$U$4</c:f>
              <c:numCache>
                <c:formatCode>#,##0</c:formatCode>
                <c:ptCount val="6"/>
                <c:pt idx="0">
                  <c:v>2318.5</c:v>
                </c:pt>
                <c:pt idx="1">
                  <c:v>2433</c:v>
                </c:pt>
                <c:pt idx="2">
                  <c:v>2323.6</c:v>
                </c:pt>
                <c:pt idx="3">
                  <c:v>2579.8000000000002</c:v>
                </c:pt>
                <c:pt idx="4">
                  <c:v>2741.6</c:v>
                </c:pt>
                <c:pt idx="5">
                  <c:v>3003.4</c:v>
                </c:pt>
              </c:numCache>
            </c:numRef>
          </c:val>
          <c:extLst>
            <c:ext xmlns:c16="http://schemas.microsoft.com/office/drawing/2014/chart" uri="{C3380CC4-5D6E-409C-BE32-E72D297353CC}">
              <c16:uniqueId val="{00000001-DC7D-4A76-8DCA-1A01E749A324}"/>
            </c:ext>
          </c:extLst>
        </c:ser>
        <c:dLbls>
          <c:showLegendKey val="0"/>
          <c:showVal val="0"/>
          <c:showCatName val="0"/>
          <c:showSerName val="0"/>
          <c:showPercent val="0"/>
          <c:showBubbleSize val="0"/>
        </c:dLbls>
        <c:gapWidth val="150"/>
        <c:overlap val="100"/>
        <c:axId val="78810639"/>
        <c:axId val="78804399"/>
      </c:barChart>
      <c:catAx>
        <c:axId val="78810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4399"/>
        <c:crosses val="autoZero"/>
        <c:auto val="1"/>
        <c:lblAlgn val="ctr"/>
        <c:lblOffset val="100"/>
        <c:noMultiLvlLbl val="0"/>
      </c:catAx>
      <c:valAx>
        <c:axId val="78804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10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model!$B$84</c:f>
              <c:strCache>
                <c:ptCount val="1"/>
                <c:pt idx="0">
                  <c:v>FCF</c:v>
                </c:pt>
              </c:strCache>
            </c:strRef>
          </c:tx>
          <c:spPr>
            <a:solidFill>
              <a:schemeClr val="accent1"/>
            </a:solidFill>
            <a:ln>
              <a:noFill/>
            </a:ln>
            <a:effectLst/>
          </c:spPr>
          <c:invertIfNegative val="0"/>
          <c:cat>
            <c:numRef>
              <c:f>model!$P$2:$U$2</c:f>
              <c:numCache>
                <c:formatCode>General</c:formatCode>
                <c:ptCount val="6"/>
                <c:pt idx="0">
                  <c:v>2018</c:v>
                </c:pt>
                <c:pt idx="1">
                  <c:v>2019</c:v>
                </c:pt>
                <c:pt idx="2">
                  <c:v>2020</c:v>
                </c:pt>
                <c:pt idx="3">
                  <c:v>2021</c:v>
                </c:pt>
                <c:pt idx="4">
                  <c:v>2022</c:v>
                </c:pt>
                <c:pt idx="5">
                  <c:v>2023</c:v>
                </c:pt>
              </c:numCache>
            </c:numRef>
          </c:cat>
          <c:val>
            <c:numRef>
              <c:f>model!$P$84:$U$84</c:f>
              <c:numCache>
                <c:formatCode>#,##0</c:formatCode>
                <c:ptCount val="6"/>
                <c:pt idx="0">
                  <c:v>1228.0999999999997</c:v>
                </c:pt>
                <c:pt idx="1">
                  <c:v>1315.3999999999999</c:v>
                </c:pt>
                <c:pt idx="2">
                  <c:v>1252.8000000000004</c:v>
                </c:pt>
                <c:pt idx="3">
                  <c:v>1418.8999999999996</c:v>
                </c:pt>
                <c:pt idx="4">
                  <c:v>1075.6000000000004</c:v>
                </c:pt>
                <c:pt idx="5">
                  <c:v>1636.9999999999998</c:v>
                </c:pt>
              </c:numCache>
            </c:numRef>
          </c:val>
          <c:extLst>
            <c:ext xmlns:c16="http://schemas.microsoft.com/office/drawing/2014/chart" uri="{C3380CC4-5D6E-409C-BE32-E72D297353CC}">
              <c16:uniqueId val="{00000000-607F-4A03-A853-7491B0897AEB}"/>
            </c:ext>
          </c:extLst>
        </c:ser>
        <c:dLbls>
          <c:showLegendKey val="0"/>
          <c:showVal val="0"/>
          <c:showCatName val="0"/>
          <c:showSerName val="0"/>
          <c:showPercent val="0"/>
          <c:showBubbleSize val="0"/>
        </c:dLbls>
        <c:gapWidth val="219"/>
        <c:overlap val="-27"/>
        <c:axId val="1840998543"/>
        <c:axId val="1841015823"/>
      </c:barChart>
      <c:catAx>
        <c:axId val="184099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015823"/>
        <c:crosses val="autoZero"/>
        <c:auto val="1"/>
        <c:lblAlgn val="ctr"/>
        <c:lblOffset val="100"/>
        <c:noMultiLvlLbl val="0"/>
      </c:catAx>
      <c:valAx>
        <c:axId val="1841015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985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100853</xdr:colOff>
      <xdr:row>12</xdr:row>
      <xdr:rowOff>1</xdr:rowOff>
    </xdr:from>
    <xdr:to>
      <xdr:col>6</xdr:col>
      <xdr:colOff>211667</xdr:colOff>
      <xdr:row>26</xdr:row>
      <xdr:rowOff>137583</xdr:rowOff>
    </xdr:to>
    <xdr:graphicFrame macro="">
      <xdr:nvGraphicFramePr>
        <xdr:cNvPr id="2" name="Chart 1">
          <a:extLst>
            <a:ext uri="{FF2B5EF4-FFF2-40B4-BE49-F238E27FC236}">
              <a16:creationId xmlns:a16="http://schemas.microsoft.com/office/drawing/2014/main" id="{87F02C2C-39CA-45C6-B4C4-739776168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316822</xdr:colOff>
      <xdr:row>11</xdr:row>
      <xdr:rowOff>162994</xdr:rowOff>
    </xdr:from>
    <xdr:to>
      <xdr:col>12</xdr:col>
      <xdr:colOff>138546</xdr:colOff>
      <xdr:row>26</xdr:row>
      <xdr:rowOff>103909</xdr:rowOff>
    </xdr:to>
    <xdr:graphicFrame macro="">
      <xdr:nvGraphicFramePr>
        <xdr:cNvPr id="3" name="Chart 2">
          <a:extLst>
            <a:ext uri="{FF2B5EF4-FFF2-40B4-BE49-F238E27FC236}">
              <a16:creationId xmlns:a16="http://schemas.microsoft.com/office/drawing/2014/main" id="{0668E3BA-DC66-4240-829A-F1EAEE9BDE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247038</xdr:colOff>
      <xdr:row>11</xdr:row>
      <xdr:rowOff>154336</xdr:rowOff>
    </xdr:from>
    <xdr:to>
      <xdr:col>19</xdr:col>
      <xdr:colOff>138545</xdr:colOff>
      <xdr:row>26</xdr:row>
      <xdr:rowOff>86591</xdr:rowOff>
    </xdr:to>
    <xdr:graphicFrame macro="">
      <xdr:nvGraphicFramePr>
        <xdr:cNvPr id="4" name="Chart 3">
          <a:extLst>
            <a:ext uri="{FF2B5EF4-FFF2-40B4-BE49-F238E27FC236}">
              <a16:creationId xmlns:a16="http://schemas.microsoft.com/office/drawing/2014/main" id="{D8132E00-82EE-41E7-9A54-B17FBABA46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0</xdr:colOff>
      <xdr:row>0</xdr:row>
      <xdr:rowOff>47625</xdr:rowOff>
    </xdr:from>
    <xdr:to>
      <xdr:col>21</xdr:col>
      <xdr:colOff>9525</xdr:colOff>
      <xdr:row>90</xdr:row>
      <xdr:rowOff>57150</xdr:rowOff>
    </xdr:to>
    <xdr:cxnSp macro="">
      <xdr:nvCxnSpPr>
        <xdr:cNvPr id="5" name="Straight Connector 4">
          <a:extLst>
            <a:ext uri="{FF2B5EF4-FFF2-40B4-BE49-F238E27FC236}">
              <a16:creationId xmlns:a16="http://schemas.microsoft.com/office/drawing/2014/main" id="{D9BF5D89-C059-7A7D-EB75-EAC5390BDF63}"/>
            </a:ext>
          </a:extLst>
        </xdr:cNvPr>
        <xdr:cNvCxnSpPr/>
      </xdr:nvCxnSpPr>
      <xdr:spPr>
        <a:xfrm flipH="1">
          <a:off x="14887575" y="47625"/>
          <a:ext cx="9525" cy="145827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590550</xdr:colOff>
      <xdr:row>0</xdr:row>
      <xdr:rowOff>0</xdr:rowOff>
    </xdr:from>
    <xdr:to>
      <xdr:col>11</xdr:col>
      <xdr:colOff>600075</xdr:colOff>
      <xdr:row>90</xdr:row>
      <xdr:rowOff>9525</xdr:rowOff>
    </xdr:to>
    <xdr:cxnSp macro="">
      <xdr:nvCxnSpPr>
        <xdr:cNvPr id="8" name="Straight Connector 7">
          <a:extLst>
            <a:ext uri="{FF2B5EF4-FFF2-40B4-BE49-F238E27FC236}">
              <a16:creationId xmlns:a16="http://schemas.microsoft.com/office/drawing/2014/main" id="{650087B8-C260-412D-859F-5F90FF1376FC}"/>
            </a:ext>
          </a:extLst>
        </xdr:cNvPr>
        <xdr:cNvCxnSpPr/>
      </xdr:nvCxnSpPr>
      <xdr:spPr>
        <a:xfrm flipH="1">
          <a:off x="9382125" y="0"/>
          <a:ext cx="9525" cy="145827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https://www.bing.com/financeapi/forcetrigger?t=a1rlu2&amp;q=XNYS%3aECL&amp;form=skydnc</v>
    <v>Learn more on Bing</v>
  </rv>
  <rv s="1">
    <v>en-GB</v>
    <v>a1rlu2</v>
    <v>268435456</v>
    <v>1</v>
    <v>Powered by Refinitiv</v>
    <v>0</v>
    <v>ECOLAB INC. (XNYS:ECL)</v>
    <v>2</v>
    <v>3</v>
    <v>Finance</v>
    <v>4</v>
    <v>262.58</v>
    <v>156.72</v>
    <v>1.1377999999999999</v>
    <v>5.13</v>
    <v>1.9953000000000002E-2</v>
    <v>USD</v>
    <v>Ecolab Inc. is engaged in offering water, hygiene and infection prevention solutions and services that protect people and the resources vital to life. The Company’s Global Industrial segment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Its Global Institutional &amp; Specialty segment provides specialized cleaning and sanitizing products to the foodservice, hospitality, lodging, government and education and retail industries. Its Global Healthcare &amp; Life Sciences segment provides specialized cleaning and sanitizing products to the healthcare, personal care, and pharmaceutical industries. Its Global Pest Elimination segment provides services designed to detect, prevent, and eliminate pests.</v>
    <v>48000</v>
    <v>New York Stock Exchange</v>
    <v>XNYS</v>
    <v>XNYS</v>
    <v>1 Ecolab Place, SAINT PAUL, MN, 55102 US</v>
    <v>262.58</v>
    <v>Chemicals</v>
    <v>Stock</v>
    <v>45583.714300693748</v>
    <v>0</v>
    <v>258.90499999999997</v>
    <v>74614294848</v>
    <v>ECOLAB INC.</v>
    <v>ECOLAB INC.</v>
    <v>260.68</v>
    <v>43.113399999999999</v>
    <v>257.10000000000002</v>
    <v>262.23</v>
    <v>284537600</v>
    <v>ECL</v>
    <v>ECOLAB INC. (XNYS:ECL)</v>
    <v>376541</v>
    <v>851179</v>
    <v>1924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5F7EC-5C06-476E-BC2E-7FD5E04E53B7}">
  <dimension ref="A2:L32"/>
  <sheetViews>
    <sheetView showGridLines="0" zoomScale="90" zoomScaleNormal="90" workbookViewId="0">
      <selection activeCell="C10" sqref="C10"/>
    </sheetView>
  </sheetViews>
  <sheetFormatPr defaultRowHeight="12.75" x14ac:dyDescent="0.2"/>
  <cols>
    <col min="1" max="9" width="9.140625" style="1"/>
    <col min="10" max="10" width="16.140625" style="1" customWidth="1"/>
    <col min="11" max="16384" width="9.140625" style="1"/>
  </cols>
  <sheetData>
    <row r="2" spans="6:12" x14ac:dyDescent="0.2">
      <c r="F2" s="14" t="s">
        <v>108</v>
      </c>
      <c r="G2" s="13">
        <v>1923</v>
      </c>
      <c r="K2" s="5" t="s">
        <v>0</v>
      </c>
      <c r="L2" s="1" t="e" vm="1">
        <v>#VALUE!</v>
      </c>
    </row>
    <row r="3" spans="6:12" x14ac:dyDescent="0.2">
      <c r="F3" s="14" t="s">
        <v>109</v>
      </c>
      <c r="G3" s="13" t="s">
        <v>114</v>
      </c>
      <c r="K3" s="5" t="s">
        <v>1</v>
      </c>
      <c r="L3" s="2" cm="1">
        <f t="array" aca="1" ref="L3" ca="1">+_FV(L2,"Price")</f>
        <v>262.23</v>
      </c>
    </row>
    <row r="4" spans="6:12" x14ac:dyDescent="0.2">
      <c r="F4" s="14" t="s">
        <v>110</v>
      </c>
      <c r="G4" s="13" t="s">
        <v>116</v>
      </c>
      <c r="K4" s="5" t="s">
        <v>2</v>
      </c>
      <c r="L4" s="1">
        <v>284.53861599999999</v>
      </c>
    </row>
    <row r="5" spans="6:12" x14ac:dyDescent="0.2">
      <c r="F5" s="14" t="s">
        <v>111</v>
      </c>
      <c r="G5" s="13" t="s">
        <v>117</v>
      </c>
      <c r="K5" s="5" t="s">
        <v>3</v>
      </c>
      <c r="L5" s="3">
        <f ca="1">+L3*L4</f>
        <v>74614.561273679996</v>
      </c>
    </row>
    <row r="6" spans="6:12" x14ac:dyDescent="0.2">
      <c r="F6" s="14" t="s">
        <v>112</v>
      </c>
      <c r="G6" s="13">
        <v>1957</v>
      </c>
      <c r="K6" s="5" t="s">
        <v>4</v>
      </c>
      <c r="L6" s="3">
        <f>384+565.6</f>
        <v>949.6</v>
      </c>
    </row>
    <row r="7" spans="6:12" x14ac:dyDescent="0.2">
      <c r="F7" s="14" t="s">
        <v>113</v>
      </c>
      <c r="G7" s="13" t="s">
        <v>115</v>
      </c>
      <c r="K7" s="5" t="s">
        <v>5</v>
      </c>
      <c r="L7" s="3">
        <f>5.9+7538.8</f>
        <v>7544.7</v>
      </c>
    </row>
    <row r="8" spans="6:12" x14ac:dyDescent="0.2">
      <c r="K8" s="5" t="s">
        <v>6</v>
      </c>
      <c r="L8" s="3">
        <f ca="1">+L5-L6+L7</f>
        <v>81209.661273679987</v>
      </c>
    </row>
    <row r="9" spans="6:12" x14ac:dyDescent="0.2">
      <c r="K9" s="5"/>
    </row>
    <row r="10" spans="6:12" x14ac:dyDescent="0.2">
      <c r="K10" s="5" t="s">
        <v>102</v>
      </c>
      <c r="L10" s="11">
        <f ca="1">+main!L8/2037</f>
        <v>39.867285848640151</v>
      </c>
    </row>
    <row r="30" spans="1:1" x14ac:dyDescent="0.2">
      <c r="A30" s="5" t="s">
        <v>118</v>
      </c>
    </row>
    <row r="31" spans="1:1" x14ac:dyDescent="0.2">
      <c r="A31" s="1" t="s">
        <v>119</v>
      </c>
    </row>
    <row r="32" spans="1:1" x14ac:dyDescent="0.2">
      <c r="A32" s="1" t="s">
        <v>120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763A8-AE9D-4A94-8AA6-6449E6ED71A8}">
  <dimension ref="A1:DI118"/>
  <sheetViews>
    <sheetView tabSelected="1" zoomScaleNormal="100" workbookViewId="0">
      <pane xSplit="2" ySplit="2" topLeftCell="J3" activePane="bottomRight" state="frozen"/>
      <selection pane="topRight" activeCell="C1" sqref="C1"/>
      <selection pane="bottomLeft" activeCell="A3" sqref="A3"/>
      <selection pane="bottomRight" activeCell="AD3" sqref="AD3"/>
    </sheetView>
  </sheetViews>
  <sheetFormatPr defaultRowHeight="12.75" x14ac:dyDescent="0.2"/>
  <cols>
    <col min="1" max="1" width="5" style="1" bestFit="1" customWidth="1"/>
    <col min="2" max="2" width="44.5703125" style="1" bestFit="1" customWidth="1"/>
    <col min="3" max="30" width="9.140625" style="1"/>
    <col min="31" max="31" width="10.7109375" style="1" bestFit="1" customWidth="1"/>
    <col min="32" max="16384" width="9.140625" style="1"/>
  </cols>
  <sheetData>
    <row r="1" spans="1:31" x14ac:dyDescent="0.2">
      <c r="A1" s="4" t="s">
        <v>7</v>
      </c>
    </row>
    <row r="2" spans="1:31" x14ac:dyDescent="0.2">
      <c r="B2" s="1" t="s">
        <v>26</v>
      </c>
      <c r="C2" s="5" t="s">
        <v>8</v>
      </c>
      <c r="D2" s="5" t="s">
        <v>9</v>
      </c>
      <c r="E2" s="5" t="s">
        <v>10</v>
      </c>
      <c r="F2" s="5" t="s">
        <v>11</v>
      </c>
      <c r="G2" s="5" t="s">
        <v>12</v>
      </c>
      <c r="H2" s="5" t="s">
        <v>13</v>
      </c>
      <c r="I2" s="5" t="s">
        <v>14</v>
      </c>
      <c r="J2" s="5" t="s">
        <v>15</v>
      </c>
      <c r="K2" s="5" t="s">
        <v>16</v>
      </c>
      <c r="L2" s="5" t="s">
        <v>17</v>
      </c>
      <c r="M2" s="5" t="s">
        <v>18</v>
      </c>
      <c r="P2" s="5">
        <v>2018</v>
      </c>
      <c r="Q2" s="5">
        <v>2019</v>
      </c>
      <c r="R2" s="5">
        <v>2020</v>
      </c>
      <c r="S2" s="5">
        <f>+R2+1</f>
        <v>2021</v>
      </c>
      <c r="T2" s="5">
        <f t="shared" ref="T2:AB2" si="0">+S2+1</f>
        <v>2022</v>
      </c>
      <c r="U2" s="5">
        <f t="shared" si="0"/>
        <v>2023</v>
      </c>
      <c r="V2" s="5">
        <f t="shared" si="0"/>
        <v>2024</v>
      </c>
      <c r="W2" s="5">
        <f t="shared" si="0"/>
        <v>2025</v>
      </c>
      <c r="X2" s="5">
        <f t="shared" si="0"/>
        <v>2026</v>
      </c>
      <c r="Y2" s="5">
        <f t="shared" si="0"/>
        <v>2027</v>
      </c>
      <c r="Z2" s="5">
        <f t="shared" si="0"/>
        <v>2028</v>
      </c>
      <c r="AA2" s="5">
        <f t="shared" si="0"/>
        <v>2029</v>
      </c>
      <c r="AB2" s="5">
        <f t="shared" si="0"/>
        <v>2030</v>
      </c>
    </row>
    <row r="3" spans="1:31" x14ac:dyDescent="0.2">
      <c r="B3" s="1" t="s">
        <v>19</v>
      </c>
      <c r="C3" s="3"/>
      <c r="D3" s="3"/>
      <c r="E3" s="3">
        <v>2963</v>
      </c>
      <c r="F3" s="3"/>
      <c r="G3" s="3">
        <v>2876.3</v>
      </c>
      <c r="H3" s="3">
        <v>3104.8</v>
      </c>
      <c r="I3" s="3">
        <v>3170.9</v>
      </c>
      <c r="J3" s="3">
        <f t="shared" ref="J3:J4" si="1">+U3-I3-H3-G3</f>
        <v>3164.7999999999993</v>
      </c>
      <c r="K3" s="3">
        <v>2986.5</v>
      </c>
      <c r="L3" s="3">
        <v>3173.1</v>
      </c>
      <c r="M3" s="3"/>
      <c r="P3" s="3">
        <v>9903.6</v>
      </c>
      <c r="Q3" s="3">
        <v>10129</v>
      </c>
      <c r="R3" s="3">
        <v>9466.6</v>
      </c>
      <c r="S3" s="3">
        <v>10153.299999999999</v>
      </c>
      <c r="T3" s="3">
        <v>11446.2</v>
      </c>
      <c r="U3" s="3">
        <v>12316.8</v>
      </c>
      <c r="V3" s="3">
        <f>+U3*1.06</f>
        <v>13055.807999999999</v>
      </c>
      <c r="W3" s="3">
        <f t="shared" ref="W3:AB3" si="2">+V3*1.06</f>
        <v>13839.15648</v>
      </c>
      <c r="X3" s="3">
        <f t="shared" si="2"/>
        <v>14669.505868800001</v>
      </c>
      <c r="Y3" s="3">
        <f t="shared" si="2"/>
        <v>15549.676220928002</v>
      </c>
      <c r="Z3" s="3">
        <f t="shared" si="2"/>
        <v>16482.656794183684</v>
      </c>
      <c r="AA3" s="3">
        <f t="shared" si="2"/>
        <v>17471.616201834706</v>
      </c>
      <c r="AB3" s="3">
        <f t="shared" si="2"/>
        <v>18519.913173944788</v>
      </c>
      <c r="AD3" s="1" t="s">
        <v>122</v>
      </c>
      <c r="AE3" s="9">
        <v>7.4999999999999997E-2</v>
      </c>
    </row>
    <row r="4" spans="1:31" x14ac:dyDescent="0.2">
      <c r="B4" s="1" t="s">
        <v>20</v>
      </c>
      <c r="C4" s="3"/>
      <c r="D4" s="3"/>
      <c r="E4" s="3">
        <v>706.3</v>
      </c>
      <c r="F4" s="3"/>
      <c r="G4" s="3">
        <v>695.3</v>
      </c>
      <c r="H4" s="3">
        <v>747.3</v>
      </c>
      <c r="I4" s="3">
        <v>787.2</v>
      </c>
      <c r="J4" s="3">
        <f t="shared" si="1"/>
        <v>773.59999999999991</v>
      </c>
      <c r="K4" s="3">
        <v>765.4</v>
      </c>
      <c r="L4" s="3">
        <v>812.7</v>
      </c>
      <c r="M4" s="3"/>
      <c r="P4" s="3">
        <v>2318.5</v>
      </c>
      <c r="Q4" s="3">
        <v>2433</v>
      </c>
      <c r="R4" s="3">
        <v>2323.6</v>
      </c>
      <c r="S4" s="3">
        <v>2579.8000000000002</v>
      </c>
      <c r="T4" s="3">
        <v>2741.6</v>
      </c>
      <c r="U4" s="3">
        <v>3003.4</v>
      </c>
      <c r="V4" s="3">
        <f>+U4*1.06</f>
        <v>3183.6040000000003</v>
      </c>
      <c r="W4" s="3">
        <f t="shared" ref="W4:AB4" si="3">+V4*1.06</f>
        <v>3374.6202400000006</v>
      </c>
      <c r="X4" s="3">
        <f t="shared" si="3"/>
        <v>3577.097454400001</v>
      </c>
      <c r="Y4" s="3">
        <f t="shared" si="3"/>
        <v>3791.7233016640012</v>
      </c>
      <c r="Z4" s="3">
        <f t="shared" si="3"/>
        <v>4019.2266997638412</v>
      </c>
      <c r="AA4" s="3">
        <f t="shared" si="3"/>
        <v>4260.3803017496721</v>
      </c>
      <c r="AB4" s="3">
        <f t="shared" si="3"/>
        <v>4516.0031198546531</v>
      </c>
      <c r="AD4" s="1" t="s">
        <v>123</v>
      </c>
      <c r="AE4" s="8">
        <v>0.01</v>
      </c>
    </row>
    <row r="5" spans="1:31" x14ac:dyDescent="0.2">
      <c r="C5" s="3"/>
      <c r="D5" s="3"/>
      <c r="E5" s="3"/>
      <c r="F5" s="3"/>
      <c r="G5" s="3"/>
      <c r="H5" s="3"/>
      <c r="I5" s="3"/>
      <c r="J5" s="3"/>
      <c r="K5" s="3"/>
      <c r="L5" s="3"/>
      <c r="M5" s="3"/>
      <c r="P5" s="3"/>
      <c r="Q5" s="3"/>
      <c r="R5" s="3"/>
      <c r="S5" s="3"/>
      <c r="T5" s="3"/>
      <c r="U5" s="3"/>
      <c r="V5" s="3"/>
      <c r="W5" s="3"/>
      <c r="X5" s="3"/>
      <c r="Y5" s="3"/>
      <c r="Z5" s="3"/>
      <c r="AA5" s="3"/>
      <c r="AB5" s="3"/>
      <c r="AD5" s="1" t="s">
        <v>124</v>
      </c>
      <c r="AE5" s="16">
        <v>0.04</v>
      </c>
    </row>
    <row r="6" spans="1:31" x14ac:dyDescent="0.2">
      <c r="B6" s="1" t="s">
        <v>90</v>
      </c>
      <c r="C6" s="3"/>
      <c r="D6" s="3"/>
      <c r="E6" s="3"/>
      <c r="F6" s="3"/>
      <c r="G6" s="3">
        <f>793+786+162.5+165.9+9.6</f>
        <v>1917</v>
      </c>
      <c r="H6" s="3">
        <f>806+879.8+154.6+185.9+9.6</f>
        <v>2035.8999999999999</v>
      </c>
      <c r="I6" s="3"/>
      <c r="J6" s="3"/>
      <c r="K6" s="3">
        <f>793.8+883.2+149.8+181.7</f>
        <v>2008.5</v>
      </c>
      <c r="L6" s="3">
        <f>830.3+960.9+147.6+206.8</f>
        <v>2145.6</v>
      </c>
      <c r="M6" s="3"/>
      <c r="P6" s="3"/>
      <c r="Q6" s="3"/>
      <c r="R6" s="3"/>
      <c r="S6" s="3">
        <f>2603.1+2721.8+443.8+719.9+98.1</f>
        <v>6586.7</v>
      </c>
      <c r="T6" s="3">
        <f>2945.1+3050+612.5+816+107.5</f>
        <v>7531.1</v>
      </c>
      <c r="U6" s="3">
        <f>3059.3+3454.2+647.7+898.6+55.6</f>
        <v>8115.4000000000005</v>
      </c>
      <c r="V6" s="3"/>
      <c r="W6" s="3"/>
      <c r="X6" s="3"/>
      <c r="Y6" s="3"/>
      <c r="Z6" s="3"/>
      <c r="AA6" s="3"/>
      <c r="AB6" s="3"/>
      <c r="AD6" s="1" t="s">
        <v>125</v>
      </c>
      <c r="AE6" s="3">
        <f>+NPV(AE3,V33:DI33)</f>
        <v>59246.975315778611</v>
      </c>
    </row>
    <row r="7" spans="1:31" x14ac:dyDescent="0.2">
      <c r="B7" s="1" t="s">
        <v>91</v>
      </c>
      <c r="C7" s="3"/>
      <c r="D7" s="3"/>
      <c r="E7" s="3"/>
      <c r="F7" s="3"/>
      <c r="G7" s="3">
        <f>377.4+146.5+174.4+38.7+0.7</f>
        <v>737.7</v>
      </c>
      <c r="H7" s="3">
        <f>414.3+174.7+186.2+42.8+0.7</f>
        <v>818.7</v>
      </c>
      <c r="I7" s="3"/>
      <c r="J7" s="3"/>
      <c r="K7" s="3">
        <f>374.6+160.5+184.5+43.2</f>
        <v>762.80000000000007</v>
      </c>
      <c r="L7" s="3">
        <f>410.6+179.3+187+46.4</f>
        <v>823.30000000000007</v>
      </c>
      <c r="M7" s="3"/>
      <c r="P7" s="3"/>
      <c r="Q7" s="3"/>
      <c r="R7" s="3"/>
      <c r="S7" s="3">
        <f>1367.1+558+625.3+264.9+3.9</f>
        <v>2819.2</v>
      </c>
      <c r="T7" s="3">
        <f>1373.6+624+688.8+272.7+3</f>
        <v>2962.0999999999995</v>
      </c>
      <c r="U7" s="3">
        <f>1496.6+681.9+735+301.7+3</f>
        <v>3218.2</v>
      </c>
      <c r="V7" s="3"/>
      <c r="W7" s="3"/>
      <c r="X7" s="3"/>
      <c r="Y7" s="3"/>
      <c r="Z7" s="3"/>
      <c r="AA7" s="3"/>
      <c r="AB7" s="3"/>
      <c r="AD7" s="1" t="s">
        <v>1</v>
      </c>
      <c r="AE7" s="7">
        <f>+AE6/L34</f>
        <v>206.43545406194639</v>
      </c>
    </row>
    <row r="8" spans="1:31" x14ac:dyDescent="0.2">
      <c r="B8" s="1" t="s">
        <v>77</v>
      </c>
      <c r="C8" s="3"/>
      <c r="D8" s="3"/>
      <c r="E8" s="3"/>
      <c r="F8" s="3"/>
      <c r="G8" s="3">
        <f>228.4+56.8+19.6+6.9</f>
        <v>311.7</v>
      </c>
      <c r="H8" s="3">
        <f>238.9+58.4+22.5+7.2+0.1</f>
        <v>327.10000000000002</v>
      </c>
      <c r="I8" s="3"/>
      <c r="J8" s="3"/>
      <c r="K8" s="3">
        <f>230.7+59.3+23.4+7.6</f>
        <v>321</v>
      </c>
      <c r="L8" s="3">
        <f>230.8+59.5+26.5+8</f>
        <v>324.8</v>
      </c>
      <c r="M8" s="3"/>
      <c r="P8" s="3"/>
      <c r="Q8" s="3"/>
      <c r="R8" s="3"/>
      <c r="S8" s="3">
        <f>802.5+201.2+65.2+72.4+5.5</f>
        <v>1146.8000000000002</v>
      </c>
      <c r="T8" s="3">
        <f>830.1+212.6+92.8+76.1+4.1</f>
        <v>1215.6999999999998</v>
      </c>
      <c r="U8" s="3">
        <f>880+231.2+95.3+85.9+3.7</f>
        <v>1296.1000000000001</v>
      </c>
      <c r="V8" s="3"/>
      <c r="W8" s="3"/>
      <c r="X8" s="3"/>
      <c r="Y8" s="3"/>
      <c r="Z8" s="3"/>
      <c r="AA8" s="3"/>
      <c r="AB8" s="3"/>
    </row>
    <row r="9" spans="1:31" x14ac:dyDescent="0.2">
      <c r="B9" s="1" t="s">
        <v>92</v>
      </c>
      <c r="C9" s="3"/>
      <c r="D9" s="3"/>
      <c r="E9" s="3"/>
      <c r="F9" s="3"/>
      <c r="G9" s="3">
        <f>158.2+41.3+5.7+13.6+0.3</f>
        <v>219.1</v>
      </c>
      <c r="H9" s="3">
        <f>182.9+47.6+6.6+14.2+0.2</f>
        <v>251.49999999999997</v>
      </c>
      <c r="I9" s="3"/>
      <c r="J9" s="3"/>
      <c r="K9" s="3">
        <f>189.6+49.9+5.5+14.5</f>
        <v>259.5</v>
      </c>
      <c r="L9" s="3">
        <f>197.6+46.8+5.9+15</f>
        <v>265.29999999999995</v>
      </c>
      <c r="M9" s="3"/>
      <c r="P9" s="3"/>
      <c r="Q9" s="3"/>
      <c r="R9" s="3"/>
      <c r="S9" s="3">
        <f>551.5+135+5.5+50.3+24.6</f>
        <v>766.9</v>
      </c>
      <c r="T9" s="3">
        <f>621.7+162.3+24.7+51.9+7.3</f>
        <v>867.9</v>
      </c>
      <c r="U9" s="3">
        <f>737.2+188.3+25.5+57.6+5.6</f>
        <v>1014.2</v>
      </c>
      <c r="V9" s="3"/>
      <c r="W9" s="3"/>
      <c r="X9" s="3"/>
      <c r="Y9" s="3"/>
      <c r="Z9" s="3"/>
      <c r="AA9" s="3"/>
      <c r="AB9" s="3"/>
    </row>
    <row r="10" spans="1:31" x14ac:dyDescent="0.2">
      <c r="B10" s="1" t="s">
        <v>93</v>
      </c>
      <c r="C10" s="3"/>
      <c r="D10" s="3"/>
      <c r="E10" s="3"/>
      <c r="F10" s="3"/>
      <c r="G10" s="3">
        <f>96.9+35.6+10.8+14</f>
        <v>157.30000000000001</v>
      </c>
      <c r="H10" s="3">
        <f>104.4+40.5+12.9+14.5</f>
        <v>172.3</v>
      </c>
      <c r="I10" s="3"/>
      <c r="J10" s="3"/>
      <c r="K10" s="3">
        <f>97.7+44.7+9.4+14.7</f>
        <v>166.5</v>
      </c>
      <c r="L10" s="3">
        <f>100.5+40.5+13.8+14.9</f>
        <v>169.70000000000002</v>
      </c>
      <c r="M10" s="3"/>
      <c r="P10" s="3"/>
      <c r="Q10" s="3"/>
      <c r="R10" s="3"/>
      <c r="S10" s="3">
        <f>394.9+143.1+10.1+69.2+2.3</f>
        <v>619.6</v>
      </c>
      <c r="T10" s="3">
        <f>419.3+134.7+61+68.6+0.1</f>
        <v>683.7</v>
      </c>
      <c r="U10" s="3">
        <f>391.4+158.5+51.2+69.2</f>
        <v>670.30000000000007</v>
      </c>
      <c r="V10" s="3"/>
      <c r="W10" s="3"/>
      <c r="X10" s="3"/>
      <c r="Y10" s="3"/>
      <c r="Z10" s="3"/>
      <c r="AA10" s="3"/>
      <c r="AB10" s="3"/>
    </row>
    <row r="11" spans="1:31" x14ac:dyDescent="0.2">
      <c r="B11" s="1" t="s">
        <v>94</v>
      </c>
      <c r="C11" s="3"/>
      <c r="D11" s="3"/>
      <c r="E11" s="3"/>
      <c r="F11" s="3"/>
      <c r="G11" s="3">
        <f>104.4+14.7+5.3+1.9</f>
        <v>126.30000000000001</v>
      </c>
      <c r="H11" s="3">
        <f>107.8+17.2+6.4+1.7</f>
        <v>133.1</v>
      </c>
      <c r="I11" s="3"/>
      <c r="J11" s="3"/>
      <c r="K11" s="3">
        <f>99.2+15.5+5.4+1.7</f>
        <v>121.80000000000001</v>
      </c>
      <c r="L11" s="3">
        <f>112.3+17.8+7.1+1.7</f>
        <v>138.89999999999998</v>
      </c>
      <c r="M11" s="3"/>
      <c r="P11" s="3"/>
      <c r="Q11" s="3"/>
      <c r="R11" s="3"/>
      <c r="S11" s="3">
        <f>344.4+44.2+25.4+11.6+3.4</f>
        <v>428.99999999999994</v>
      </c>
      <c r="T11" s="3">
        <f>419.4+54.6+25+10.3+0.3</f>
        <v>509.6</v>
      </c>
      <c r="U11" s="3">
        <f>452.1+67+24.8+9</f>
        <v>552.9</v>
      </c>
      <c r="V11" s="3"/>
      <c r="W11" s="3"/>
      <c r="X11" s="3"/>
      <c r="Y11" s="3"/>
      <c r="Z11" s="3"/>
      <c r="AA11" s="3"/>
      <c r="AB11" s="3"/>
    </row>
    <row r="12" spans="1:31" x14ac:dyDescent="0.2">
      <c r="B12" s="1" t="s">
        <v>103</v>
      </c>
      <c r="C12" s="3"/>
      <c r="D12" s="3"/>
      <c r="E12" s="3"/>
      <c r="F12" s="3"/>
      <c r="G12" s="3">
        <f>50.8+47.9+1.4+2.4</f>
        <v>102.5</v>
      </c>
      <c r="H12" s="3">
        <f>55.2+54+1.6+2.7</f>
        <v>113.5</v>
      </c>
      <c r="I12" s="3"/>
      <c r="J12" s="3"/>
      <c r="K12" s="3">
        <f>53.6+53.6+1.9+2.7</f>
        <v>111.80000000000001</v>
      </c>
      <c r="L12" s="3">
        <f>54.4+59.1+1.8+2.9</f>
        <v>118.2</v>
      </c>
      <c r="M12" s="3"/>
      <c r="P12" s="3"/>
      <c r="Q12" s="3"/>
      <c r="R12" s="3"/>
      <c r="S12" s="3">
        <f>174.4+163.5+6.3+19.4+1.3</f>
        <v>364.9</v>
      </c>
      <c r="T12" s="3">
        <f>195.8+193.9+5.7+20.8+1.5</f>
        <v>417.70000000000005</v>
      </c>
      <c r="U12" s="3">
        <f>205.2+218.1+6.5+22.2+1.1</f>
        <v>453.09999999999997</v>
      </c>
      <c r="V12" s="3"/>
      <c r="W12" s="3"/>
      <c r="X12" s="3"/>
      <c r="Y12" s="3"/>
      <c r="Z12" s="3"/>
      <c r="AA12" s="3"/>
      <c r="AB12" s="3"/>
    </row>
    <row r="13" spans="1:31" x14ac:dyDescent="0.2">
      <c r="C13" s="3"/>
      <c r="D13" s="3"/>
      <c r="E13" s="3"/>
      <c r="F13" s="3"/>
      <c r="G13" s="3"/>
      <c r="H13" s="3"/>
      <c r="I13" s="3"/>
      <c r="J13" s="3"/>
      <c r="K13" s="3"/>
      <c r="L13" s="3"/>
      <c r="M13" s="3"/>
      <c r="P13" s="3"/>
      <c r="Q13" s="3"/>
      <c r="R13" s="3"/>
      <c r="S13" s="3"/>
      <c r="T13" s="3"/>
      <c r="U13" s="3"/>
      <c r="V13" s="3"/>
      <c r="W13" s="3"/>
      <c r="X13" s="3"/>
      <c r="Y13" s="3"/>
      <c r="Z13" s="3"/>
      <c r="AA13" s="3"/>
      <c r="AB13" s="3"/>
    </row>
    <row r="14" spans="1:31" x14ac:dyDescent="0.2">
      <c r="B14" s="1" t="s">
        <v>95</v>
      </c>
      <c r="C14" s="3"/>
      <c r="D14" s="3"/>
      <c r="E14" s="3"/>
      <c r="F14" s="3"/>
      <c r="G14" s="3">
        <v>1809.1</v>
      </c>
      <c r="H14" s="3">
        <f>1683.1+226.4</f>
        <v>1909.5</v>
      </c>
      <c r="I14" s="3"/>
      <c r="J14" s="3"/>
      <c r="K14" s="3">
        <v>1839.2</v>
      </c>
      <c r="L14" s="3">
        <f>1702.7+233.8</f>
        <v>1936.5</v>
      </c>
      <c r="M14" s="3"/>
      <c r="P14" s="3"/>
      <c r="Q14" s="3"/>
      <c r="R14" s="3"/>
      <c r="S14" s="3">
        <v>6237.9</v>
      </c>
      <c r="T14" s="3">
        <v>6805</v>
      </c>
      <c r="U14" s="3">
        <v>7221.8</v>
      </c>
      <c r="V14" s="3"/>
      <c r="W14" s="3"/>
      <c r="X14" s="3"/>
      <c r="Y14" s="3"/>
      <c r="Z14" s="3"/>
      <c r="AA14" s="3"/>
      <c r="AB14" s="3"/>
    </row>
    <row r="15" spans="1:31" x14ac:dyDescent="0.2">
      <c r="B15" s="1" t="s">
        <v>96</v>
      </c>
      <c r="C15" s="3"/>
      <c r="D15" s="3"/>
      <c r="E15" s="3"/>
      <c r="F15" s="3"/>
      <c r="G15" s="3">
        <v>1128.8</v>
      </c>
      <c r="H15" s="3">
        <f>1047.2+225</f>
        <v>1272.2</v>
      </c>
      <c r="I15" s="3"/>
      <c r="J15" s="3"/>
      <c r="K15" s="3">
        <v>1266.7</v>
      </c>
      <c r="L15" s="3">
        <f>1109.9+254</f>
        <v>1363.9</v>
      </c>
      <c r="M15" s="3"/>
      <c r="P15" s="3"/>
      <c r="Q15" s="3"/>
      <c r="R15" s="3"/>
      <c r="S15" s="3">
        <v>3966.8</v>
      </c>
      <c r="T15" s="3">
        <v>4432.1000000000004</v>
      </c>
      <c r="U15" s="3">
        <v>4999.2</v>
      </c>
      <c r="V15" s="3"/>
      <c r="W15" s="3"/>
      <c r="X15" s="3"/>
      <c r="Y15" s="3"/>
      <c r="Z15" s="3"/>
      <c r="AA15" s="3"/>
      <c r="AB15" s="3"/>
    </row>
    <row r="16" spans="1:31" x14ac:dyDescent="0.2">
      <c r="B16" s="1" t="s">
        <v>97</v>
      </c>
      <c r="C16" s="3"/>
      <c r="D16" s="3"/>
      <c r="E16" s="3"/>
      <c r="F16" s="3"/>
      <c r="G16" s="3">
        <v>379.7</v>
      </c>
      <c r="H16" s="3">
        <f>363.9+26.9</f>
        <v>390.79999999999995</v>
      </c>
      <c r="I16" s="3"/>
      <c r="J16" s="3"/>
      <c r="K16" s="3">
        <v>379.9</v>
      </c>
      <c r="L16" s="3">
        <f>360.5+29.2</f>
        <v>389.7</v>
      </c>
      <c r="M16" s="3"/>
      <c r="P16" s="3"/>
      <c r="Q16" s="3"/>
      <c r="R16" s="3"/>
      <c r="S16" s="3">
        <v>1181.5999999999999</v>
      </c>
      <c r="T16" s="3">
        <v>1510.5</v>
      </c>
      <c r="U16" s="3">
        <v>1586</v>
      </c>
      <c r="V16" s="3"/>
      <c r="W16" s="3"/>
      <c r="X16" s="3"/>
      <c r="Y16" s="3"/>
      <c r="Z16" s="3"/>
      <c r="AA16" s="3"/>
      <c r="AB16" s="3"/>
    </row>
    <row r="17" spans="2:28" x14ac:dyDescent="0.2">
      <c r="B17" s="1" t="s">
        <v>98</v>
      </c>
      <c r="C17" s="3"/>
      <c r="D17" s="3"/>
      <c r="E17" s="3"/>
      <c r="F17" s="3"/>
      <c r="G17" s="3">
        <v>243.4</v>
      </c>
      <c r="H17" s="3">
        <v>269</v>
      </c>
      <c r="I17" s="3"/>
      <c r="J17" s="3"/>
      <c r="K17" s="3">
        <v>266.10000000000002</v>
      </c>
      <c r="L17" s="3">
        <v>295.7</v>
      </c>
      <c r="M17" s="3"/>
      <c r="P17" s="3"/>
      <c r="Q17" s="3"/>
      <c r="R17" s="3"/>
      <c r="S17" s="3">
        <v>1207.7</v>
      </c>
      <c r="T17" s="3">
        <v>1316.4</v>
      </c>
      <c r="U17" s="3">
        <v>1444.2</v>
      </c>
      <c r="V17" s="3"/>
      <c r="W17" s="3"/>
      <c r="X17" s="3"/>
      <c r="Y17" s="3"/>
      <c r="Z17" s="3"/>
      <c r="AA17" s="3"/>
      <c r="AB17" s="3"/>
    </row>
    <row r="18" spans="2:28" x14ac:dyDescent="0.2">
      <c r="B18" s="1" t="s">
        <v>99</v>
      </c>
      <c r="C18" s="3"/>
      <c r="D18" s="3"/>
      <c r="E18" s="3"/>
      <c r="F18" s="3"/>
      <c r="G18" s="3">
        <v>10.6</v>
      </c>
      <c r="H18" s="3">
        <v>10.6</v>
      </c>
      <c r="I18" s="3"/>
      <c r="J18" s="3"/>
      <c r="K18" s="3"/>
      <c r="L18" s="3"/>
      <c r="M18" s="3"/>
      <c r="P18" s="3"/>
      <c r="Q18" s="3"/>
      <c r="R18" s="3"/>
      <c r="S18" s="3">
        <v>139.1</v>
      </c>
      <c r="T18" s="3">
        <v>123.8</v>
      </c>
      <c r="U18" s="3">
        <v>69</v>
      </c>
      <c r="V18" s="3"/>
      <c r="W18" s="3"/>
      <c r="X18" s="3"/>
      <c r="Y18" s="3"/>
      <c r="Z18" s="3"/>
      <c r="AA18" s="3"/>
      <c r="AB18" s="3"/>
    </row>
    <row r="19" spans="2:28" x14ac:dyDescent="0.2">
      <c r="C19" s="3"/>
      <c r="D19" s="3"/>
      <c r="E19" s="3"/>
      <c r="F19" s="3"/>
      <c r="G19" s="3"/>
      <c r="H19" s="3"/>
      <c r="I19" s="3"/>
      <c r="J19" s="3"/>
      <c r="K19" s="3"/>
      <c r="L19" s="3"/>
      <c r="M19" s="3"/>
    </row>
    <row r="20" spans="2:28" x14ac:dyDescent="0.2">
      <c r="B20" s="5" t="s">
        <v>21</v>
      </c>
      <c r="C20" s="6">
        <f t="shared" ref="C20:L20" si="4">+C3+C4</f>
        <v>0</v>
      </c>
      <c r="D20" s="6">
        <f t="shared" si="4"/>
        <v>0</v>
      </c>
      <c r="E20" s="6">
        <f t="shared" si="4"/>
        <v>3669.3</v>
      </c>
      <c r="F20" s="6">
        <f t="shared" si="4"/>
        <v>0</v>
      </c>
      <c r="G20" s="6">
        <f t="shared" si="4"/>
        <v>3571.6000000000004</v>
      </c>
      <c r="H20" s="6">
        <f t="shared" si="4"/>
        <v>3852.1000000000004</v>
      </c>
      <c r="I20" s="6">
        <f t="shared" si="4"/>
        <v>3958.1000000000004</v>
      </c>
      <c r="J20" s="6">
        <f t="shared" si="4"/>
        <v>3938.3999999999992</v>
      </c>
      <c r="K20" s="6">
        <f t="shared" si="4"/>
        <v>3751.9</v>
      </c>
      <c r="L20" s="6">
        <f t="shared" si="4"/>
        <v>3985.8</v>
      </c>
      <c r="M20" s="6"/>
      <c r="P20" s="6">
        <f t="shared" ref="P20:Q20" si="5">+P3+P4</f>
        <v>12222.1</v>
      </c>
      <c r="Q20" s="6">
        <f t="shared" si="5"/>
        <v>12562</v>
      </c>
      <c r="R20" s="6">
        <f t="shared" ref="R20:AB20" si="6">+R3+R4</f>
        <v>11790.2</v>
      </c>
      <c r="S20" s="6">
        <f t="shared" si="6"/>
        <v>12733.099999999999</v>
      </c>
      <c r="T20" s="6">
        <f t="shared" si="6"/>
        <v>14187.800000000001</v>
      </c>
      <c r="U20" s="6">
        <f t="shared" si="6"/>
        <v>15320.199999999999</v>
      </c>
      <c r="V20" s="6">
        <f t="shared" si="6"/>
        <v>16239.412</v>
      </c>
      <c r="W20" s="6">
        <f t="shared" si="6"/>
        <v>17213.776720000002</v>
      </c>
      <c r="X20" s="6">
        <f t="shared" si="6"/>
        <v>18246.603323200001</v>
      </c>
      <c r="Y20" s="6">
        <f t="shared" si="6"/>
        <v>19341.399522592004</v>
      </c>
      <c r="Z20" s="6">
        <f t="shared" si="6"/>
        <v>20501.883493947524</v>
      </c>
      <c r="AA20" s="6">
        <f t="shared" si="6"/>
        <v>21731.996503584378</v>
      </c>
      <c r="AB20" s="6">
        <f t="shared" si="6"/>
        <v>23035.916293799441</v>
      </c>
    </row>
    <row r="21" spans="2:28" x14ac:dyDescent="0.2">
      <c r="B21" s="1" t="s">
        <v>22</v>
      </c>
      <c r="C21" s="3"/>
      <c r="D21" s="3"/>
      <c r="E21" s="3">
        <v>1877.1</v>
      </c>
      <c r="F21" s="3"/>
      <c r="G21" s="3">
        <v>1798.3</v>
      </c>
      <c r="H21" s="3">
        <v>1895.3</v>
      </c>
      <c r="I21" s="3">
        <v>1868.1</v>
      </c>
      <c r="J21" s="3">
        <f t="shared" ref="J21:J22" si="7">+U21-I21-H21-G21</f>
        <v>1827.5000000000002</v>
      </c>
      <c r="K21" s="3">
        <v>1679.2</v>
      </c>
      <c r="L21" s="3">
        <v>1770.6</v>
      </c>
      <c r="M21" s="3"/>
      <c r="P21" s="3">
        <v>5510.6</v>
      </c>
      <c r="Q21" s="3">
        <v>5617.5</v>
      </c>
      <c r="R21" s="3">
        <v>5481.3</v>
      </c>
      <c r="S21" s="3">
        <v>6100.9</v>
      </c>
      <c r="T21" s="3">
        <v>7212.8</v>
      </c>
      <c r="U21" s="3">
        <v>7389.2</v>
      </c>
      <c r="V21" s="3">
        <f>+V3*0.58</f>
        <v>7572.3686399999988</v>
      </c>
      <c r="W21" s="3">
        <f>+W3*0.56</f>
        <v>7749.9276288000001</v>
      </c>
      <c r="X21" s="3">
        <f>+X3*0.555</f>
        <v>8141.5757571840013</v>
      </c>
      <c r="Y21" s="3">
        <f t="shared" ref="Y21:AB21" si="8">+Y3*0.555</f>
        <v>8630.0703026150422</v>
      </c>
      <c r="Z21" s="3">
        <f t="shared" si="8"/>
        <v>9147.8745207719458</v>
      </c>
      <c r="AA21" s="3">
        <f t="shared" si="8"/>
        <v>9696.746992018263</v>
      </c>
      <c r="AB21" s="3">
        <f t="shared" si="8"/>
        <v>10278.551811539359</v>
      </c>
    </row>
    <row r="22" spans="2:28" x14ac:dyDescent="0.2">
      <c r="B22" s="1" t="s">
        <v>23</v>
      </c>
      <c r="C22" s="3"/>
      <c r="D22" s="3"/>
      <c r="E22" s="3">
        <v>414.5</v>
      </c>
      <c r="F22" s="3"/>
      <c r="G22" s="3">
        <v>406.9</v>
      </c>
      <c r="H22" s="3">
        <v>439.5</v>
      </c>
      <c r="I22" s="3">
        <v>462.4</v>
      </c>
      <c r="J22" s="3">
        <f t="shared" si="7"/>
        <v>456.9000000000002</v>
      </c>
      <c r="K22" s="3">
        <v>448.9</v>
      </c>
      <c r="L22" s="3">
        <v>470.4</v>
      </c>
      <c r="M22" s="3"/>
      <c r="P22" s="3">
        <v>1364.7</v>
      </c>
      <c r="Q22" s="3">
        <v>1428.3</v>
      </c>
      <c r="R22" s="3">
        <v>1424.5</v>
      </c>
      <c r="S22" s="3">
        <v>1514.9</v>
      </c>
      <c r="T22" s="3">
        <v>1618.2</v>
      </c>
      <c r="U22" s="3">
        <v>1765.7</v>
      </c>
      <c r="V22" s="3">
        <f>+V4*0.58</f>
        <v>1846.4903200000001</v>
      </c>
      <c r="W22" s="3">
        <f t="shared" ref="W22:AB22" si="9">+W4*0.58</f>
        <v>1957.2797392000002</v>
      </c>
      <c r="X22" s="3">
        <f t="shared" si="9"/>
        <v>2074.7165235520006</v>
      </c>
      <c r="Y22" s="3">
        <f t="shared" si="9"/>
        <v>2199.1995149651207</v>
      </c>
      <c r="Z22" s="3">
        <f t="shared" si="9"/>
        <v>2331.1514858630276</v>
      </c>
      <c r="AA22" s="3">
        <f t="shared" si="9"/>
        <v>2471.0205750148098</v>
      </c>
      <c r="AB22" s="3">
        <f t="shared" si="9"/>
        <v>2619.2818095156986</v>
      </c>
    </row>
    <row r="23" spans="2:28" x14ac:dyDescent="0.2">
      <c r="B23" s="1" t="s">
        <v>24</v>
      </c>
      <c r="C23" s="3">
        <f t="shared" ref="C23:K23" si="10">+C20-C21-C22</f>
        <v>0</v>
      </c>
      <c r="D23" s="3">
        <f t="shared" si="10"/>
        <v>0</v>
      </c>
      <c r="E23" s="3">
        <f t="shared" si="10"/>
        <v>1377.7000000000003</v>
      </c>
      <c r="F23" s="3">
        <f t="shared" si="10"/>
        <v>0</v>
      </c>
      <c r="G23" s="3">
        <f t="shared" si="10"/>
        <v>1366.4000000000005</v>
      </c>
      <c r="H23" s="3">
        <f t="shared" si="10"/>
        <v>1517.3000000000004</v>
      </c>
      <c r="I23" s="3">
        <f t="shared" si="10"/>
        <v>1627.6000000000004</v>
      </c>
      <c r="J23" s="3">
        <f t="shared" si="10"/>
        <v>1653.9999999999986</v>
      </c>
      <c r="K23" s="3">
        <f t="shared" si="10"/>
        <v>1623.7999999999997</v>
      </c>
      <c r="L23" s="3">
        <f>+L20-L21-L22</f>
        <v>1744.8000000000002</v>
      </c>
      <c r="M23" s="3"/>
      <c r="P23" s="3">
        <f t="shared" ref="P23" si="11">+P20-P21-P22</f>
        <v>5346.8</v>
      </c>
      <c r="Q23" s="3">
        <f t="shared" ref="Q23" si="12">+Q20-Q21-Q22</f>
        <v>5516.2</v>
      </c>
      <c r="R23" s="3">
        <f t="shared" ref="R23:AB23" si="13">+R20-R21-R22</f>
        <v>4884.4000000000005</v>
      </c>
      <c r="S23" s="3">
        <f t="shared" si="13"/>
        <v>5117.2999999999993</v>
      </c>
      <c r="T23" s="3">
        <f t="shared" si="13"/>
        <v>5356.8000000000011</v>
      </c>
      <c r="U23" s="3">
        <f t="shared" si="13"/>
        <v>6165.2999999999993</v>
      </c>
      <c r="V23" s="3">
        <f t="shared" si="13"/>
        <v>6820.5530400000016</v>
      </c>
      <c r="W23" s="3">
        <f t="shared" si="13"/>
        <v>7506.5693520000013</v>
      </c>
      <c r="X23" s="3">
        <f t="shared" si="13"/>
        <v>8030.3110424639999</v>
      </c>
      <c r="Y23" s="3">
        <f t="shared" si="13"/>
        <v>8512.129705011841</v>
      </c>
      <c r="Z23" s="3">
        <f t="shared" si="13"/>
        <v>9022.8574873125508</v>
      </c>
      <c r="AA23" s="3">
        <f t="shared" si="13"/>
        <v>9564.2289365513061</v>
      </c>
      <c r="AB23" s="3">
        <f t="shared" si="13"/>
        <v>10138.082672744384</v>
      </c>
    </row>
    <row r="24" spans="2:28" x14ac:dyDescent="0.2">
      <c r="B24" s="1" t="s">
        <v>25</v>
      </c>
      <c r="C24" s="3"/>
      <c r="D24" s="3"/>
      <c r="E24" s="3">
        <v>876.9</v>
      </c>
      <c r="F24" s="3"/>
      <c r="G24" s="3">
        <v>990.3</v>
      </c>
      <c r="H24" s="3">
        <v>1011.6</v>
      </c>
      <c r="I24" s="3">
        <v>1024.9000000000001</v>
      </c>
      <c r="J24" s="3">
        <f t="shared" ref="J24:J25" si="14">+U24-I24-H24-G24</f>
        <v>1034.8</v>
      </c>
      <c r="K24" s="3">
        <v>1077.7</v>
      </c>
      <c r="L24" s="3">
        <v>1075.7</v>
      </c>
      <c r="M24" s="3"/>
      <c r="P24" s="3">
        <v>3505.8</v>
      </c>
      <c r="Q24" s="3">
        <v>3550.8</v>
      </c>
      <c r="R24" s="3">
        <v>3309.1</v>
      </c>
      <c r="S24" s="3">
        <v>3416.1</v>
      </c>
      <c r="T24" s="3">
        <v>3653.8</v>
      </c>
      <c r="U24" s="3">
        <v>4061.6</v>
      </c>
      <c r="V24" s="3">
        <f>+V20*0.26</f>
        <v>4222.24712</v>
      </c>
      <c r="W24" s="3">
        <f>+W20*0.25</f>
        <v>4303.4441800000004</v>
      </c>
      <c r="X24" s="3">
        <f>+X20*0.24</f>
        <v>4379.1847975680002</v>
      </c>
      <c r="Y24" s="3">
        <f>+Y20*0.23</f>
        <v>4448.5218901961616</v>
      </c>
      <c r="Z24" s="3">
        <f>+Z20*0.22</f>
        <v>4510.4143686684556</v>
      </c>
      <c r="AA24" s="3">
        <f>+AA20*0.21</f>
        <v>4563.7192657527194</v>
      </c>
      <c r="AB24" s="3">
        <f>+AB20*0.2</f>
        <v>4607.1832587598883</v>
      </c>
    </row>
    <row r="25" spans="2:28" x14ac:dyDescent="0.2">
      <c r="B25" s="1" t="s">
        <v>27</v>
      </c>
      <c r="C25" s="3"/>
      <c r="D25" s="3"/>
      <c r="E25" s="3">
        <v>17.8</v>
      </c>
      <c r="F25" s="3"/>
      <c r="G25" s="3">
        <v>24.5</v>
      </c>
      <c r="H25" s="3">
        <v>21</v>
      </c>
      <c r="I25" s="3">
        <v>36.700000000000003</v>
      </c>
      <c r="J25" s="3">
        <f t="shared" si="14"/>
        <v>29.200000000000003</v>
      </c>
      <c r="K25" s="3">
        <v>28.2</v>
      </c>
      <c r="L25" s="3">
        <v>12.2</v>
      </c>
      <c r="M25" s="3"/>
      <c r="P25" s="3">
        <v>112.7</v>
      </c>
      <c r="Q25" s="3">
        <v>120.2</v>
      </c>
      <c r="R25" s="3">
        <v>179.6</v>
      </c>
      <c r="S25" s="3">
        <v>102.6</v>
      </c>
      <c r="T25" s="3">
        <v>140.5</v>
      </c>
      <c r="U25" s="3">
        <v>111.4</v>
      </c>
      <c r="V25" s="3">
        <f>+U25*1.04</f>
        <v>115.85600000000001</v>
      </c>
      <c r="W25" s="3">
        <f t="shared" ref="W25:AB25" si="15">+V25*1.04</f>
        <v>120.49024000000001</v>
      </c>
      <c r="X25" s="3">
        <f t="shared" si="15"/>
        <v>125.30984960000002</v>
      </c>
      <c r="Y25" s="3">
        <f t="shared" si="15"/>
        <v>130.32224358400003</v>
      </c>
      <c r="Z25" s="3">
        <f t="shared" si="15"/>
        <v>135.53513332736003</v>
      </c>
      <c r="AA25" s="3">
        <f t="shared" si="15"/>
        <v>140.95653866045444</v>
      </c>
      <c r="AB25" s="3">
        <f t="shared" si="15"/>
        <v>146.59480020687263</v>
      </c>
    </row>
    <row r="26" spans="2:28" x14ac:dyDescent="0.2">
      <c r="B26" s="1" t="s">
        <v>28</v>
      </c>
      <c r="C26" s="3">
        <f t="shared" ref="C26:K26" si="16">+C23-C24-C25</f>
        <v>0</v>
      </c>
      <c r="D26" s="3">
        <f t="shared" si="16"/>
        <v>0</v>
      </c>
      <c r="E26" s="3">
        <f t="shared" si="16"/>
        <v>483.00000000000028</v>
      </c>
      <c r="F26" s="3">
        <f t="shared" si="16"/>
        <v>0</v>
      </c>
      <c r="G26" s="3">
        <f t="shared" si="16"/>
        <v>351.60000000000059</v>
      </c>
      <c r="H26" s="3">
        <f t="shared" si="16"/>
        <v>484.70000000000039</v>
      </c>
      <c r="I26" s="3">
        <f t="shared" si="16"/>
        <v>566.00000000000023</v>
      </c>
      <c r="J26" s="3">
        <f t="shared" si="16"/>
        <v>589.99999999999864</v>
      </c>
      <c r="K26" s="3">
        <f t="shared" si="16"/>
        <v>517.89999999999964</v>
      </c>
      <c r="L26" s="3">
        <f>+L23-L24-L25</f>
        <v>656.90000000000009</v>
      </c>
      <c r="M26" s="3"/>
      <c r="P26" s="3">
        <f t="shared" ref="P26" si="17">+P23-P24-P25</f>
        <v>1728.3</v>
      </c>
      <c r="Q26" s="3">
        <f t="shared" ref="Q26" si="18">+Q23-Q24-Q25</f>
        <v>1845.1999999999996</v>
      </c>
      <c r="R26" s="3">
        <f t="shared" ref="R26:AB26" si="19">+R23-R24-R25</f>
        <v>1395.7000000000007</v>
      </c>
      <c r="S26" s="3">
        <f t="shared" si="19"/>
        <v>1598.5999999999995</v>
      </c>
      <c r="T26" s="3">
        <f t="shared" si="19"/>
        <v>1562.5000000000009</v>
      </c>
      <c r="U26" s="3">
        <f t="shared" si="19"/>
        <v>1992.2999999999993</v>
      </c>
      <c r="V26" s="3">
        <f t="shared" si="19"/>
        <v>2482.4499200000014</v>
      </c>
      <c r="W26" s="3">
        <f t="shared" si="19"/>
        <v>3082.6349320000008</v>
      </c>
      <c r="X26" s="3">
        <f t="shared" si="19"/>
        <v>3525.8163952959994</v>
      </c>
      <c r="Y26" s="3">
        <f t="shared" si="19"/>
        <v>3933.2855712316796</v>
      </c>
      <c r="Z26" s="3">
        <f t="shared" si="19"/>
        <v>4376.907985316735</v>
      </c>
      <c r="AA26" s="3">
        <f t="shared" si="19"/>
        <v>4859.5531321381322</v>
      </c>
      <c r="AB26" s="3">
        <f t="shared" si="19"/>
        <v>5384.3046137776228</v>
      </c>
    </row>
    <row r="27" spans="2:28" x14ac:dyDescent="0.2">
      <c r="B27" s="1" t="s">
        <v>35</v>
      </c>
      <c r="C27" s="3"/>
      <c r="D27" s="3"/>
      <c r="E27" s="3">
        <v>5.7</v>
      </c>
      <c r="F27" s="3"/>
      <c r="G27" s="3">
        <v>-13.1</v>
      </c>
      <c r="H27" s="3">
        <v>-14.4</v>
      </c>
      <c r="I27" s="3">
        <v>-14.5</v>
      </c>
      <c r="J27" s="3">
        <f t="shared" ref="J27:J28" si="20">+U27-I27-H27-G27</f>
        <v>-17.899999999999999</v>
      </c>
      <c r="K27" s="3">
        <v>-12.6</v>
      </c>
      <c r="L27" s="3">
        <v>-12.6</v>
      </c>
      <c r="M27" s="3"/>
      <c r="P27" s="3">
        <v>-79.900000000000006</v>
      </c>
      <c r="Q27" s="3">
        <v>-77</v>
      </c>
      <c r="R27" s="3">
        <v>-55.9</v>
      </c>
      <c r="S27" s="3">
        <v>-33.9</v>
      </c>
      <c r="T27" s="3">
        <v>-24.5</v>
      </c>
      <c r="U27" s="3">
        <v>-59.9</v>
      </c>
      <c r="V27" s="3">
        <f>+U27*0.95</f>
        <v>-56.904999999999994</v>
      </c>
      <c r="W27" s="3">
        <f t="shared" ref="W27:AB27" si="21">+V27*0.95</f>
        <v>-54.059749999999994</v>
      </c>
      <c r="X27" s="3">
        <f t="shared" si="21"/>
        <v>-51.356762499999995</v>
      </c>
      <c r="Y27" s="3">
        <f t="shared" si="21"/>
        <v>-48.788924374999993</v>
      </c>
      <c r="Z27" s="3">
        <f t="shared" si="21"/>
        <v>-46.349478156249994</v>
      </c>
      <c r="AA27" s="3">
        <f t="shared" si="21"/>
        <v>-44.032004248437495</v>
      </c>
      <c r="AB27" s="3">
        <f t="shared" si="21"/>
        <v>-41.830404036015615</v>
      </c>
    </row>
    <row r="28" spans="2:28" x14ac:dyDescent="0.2">
      <c r="B28" s="1" t="s">
        <v>36</v>
      </c>
      <c r="C28" s="3"/>
      <c r="D28" s="3"/>
      <c r="E28" s="3">
        <v>65.099999999999994</v>
      </c>
      <c r="F28" s="3"/>
      <c r="G28" s="3">
        <v>74.2</v>
      </c>
      <c r="H28" s="3">
        <v>77.8</v>
      </c>
      <c r="I28" s="3">
        <v>74.3</v>
      </c>
      <c r="J28" s="3">
        <f t="shared" si="20"/>
        <v>70.399999999999963</v>
      </c>
      <c r="K28" s="3">
        <v>71.599999999999994</v>
      </c>
      <c r="L28" s="3">
        <v>78.8</v>
      </c>
      <c r="M28" s="3"/>
      <c r="P28" s="3">
        <v>221.1</v>
      </c>
      <c r="Q28" s="3">
        <v>190.7</v>
      </c>
      <c r="R28" s="3">
        <v>290.2</v>
      </c>
      <c r="S28" s="3">
        <v>218.3</v>
      </c>
      <c r="T28" s="3">
        <v>243.6</v>
      </c>
      <c r="U28" s="3">
        <v>296.7</v>
      </c>
      <c r="V28" s="3">
        <f>+IF(L88&lt;0,0,-L88*$AE$5)</f>
        <v>0</v>
      </c>
      <c r="W28" s="3">
        <f>+IF(V88&lt;0,0,-V88*$AE$5)</f>
        <v>0</v>
      </c>
      <c r="X28" s="3">
        <f t="shared" ref="X28:AB28" si="22">+IF(W88&lt;0,0,-W88*$AE$5)</f>
        <v>0</v>
      </c>
      <c r="Y28" s="3">
        <f t="shared" si="22"/>
        <v>0</v>
      </c>
      <c r="Z28" s="3">
        <f t="shared" si="22"/>
        <v>-111.33209338644471</v>
      </c>
      <c r="AA28" s="3">
        <f t="shared" si="22"/>
        <v>-253.75488706171987</v>
      </c>
      <c r="AB28" s="3">
        <f t="shared" si="22"/>
        <v>-415.84789311798824</v>
      </c>
    </row>
    <row r="29" spans="2:28" x14ac:dyDescent="0.2">
      <c r="B29" s="1" t="s">
        <v>29</v>
      </c>
      <c r="C29" s="3">
        <f t="shared" ref="C29:K29" si="23">+C26-C27-C28</f>
        <v>0</v>
      </c>
      <c r="D29" s="3">
        <f t="shared" si="23"/>
        <v>0</v>
      </c>
      <c r="E29" s="3">
        <f t="shared" si="23"/>
        <v>412.20000000000027</v>
      </c>
      <c r="F29" s="3">
        <f t="shared" si="23"/>
        <v>0</v>
      </c>
      <c r="G29" s="3">
        <f t="shared" si="23"/>
        <v>290.50000000000063</v>
      </c>
      <c r="H29" s="3">
        <f t="shared" si="23"/>
        <v>421.30000000000035</v>
      </c>
      <c r="I29" s="3">
        <f t="shared" si="23"/>
        <v>506.20000000000022</v>
      </c>
      <c r="J29" s="3">
        <f t="shared" si="23"/>
        <v>537.49999999999864</v>
      </c>
      <c r="K29" s="3">
        <f t="shared" si="23"/>
        <v>458.89999999999964</v>
      </c>
      <c r="L29" s="3">
        <f>+L26-L27-L28</f>
        <v>590.70000000000016</v>
      </c>
      <c r="M29" s="3"/>
      <c r="P29" s="3">
        <f t="shared" ref="P29" si="24">+P26-P27-P28</f>
        <v>1587.1000000000001</v>
      </c>
      <c r="Q29" s="3">
        <f t="shared" ref="Q29" si="25">+Q26-Q27-Q28</f>
        <v>1731.4999999999995</v>
      </c>
      <c r="R29" s="3">
        <f t="shared" ref="R29:AB29" si="26">+R26-R27-R28</f>
        <v>1161.4000000000008</v>
      </c>
      <c r="S29" s="3">
        <f t="shared" si="26"/>
        <v>1414.1999999999996</v>
      </c>
      <c r="T29" s="3">
        <f t="shared" si="26"/>
        <v>1343.400000000001</v>
      </c>
      <c r="U29" s="3">
        <f t="shared" si="26"/>
        <v>1755.4999999999993</v>
      </c>
      <c r="V29" s="3">
        <f t="shared" si="26"/>
        <v>2539.3549200000016</v>
      </c>
      <c r="W29" s="3">
        <f t="shared" si="26"/>
        <v>3136.6946820000007</v>
      </c>
      <c r="X29" s="3">
        <f t="shared" si="26"/>
        <v>3577.1731577959995</v>
      </c>
      <c r="Y29" s="3">
        <f t="shared" si="26"/>
        <v>3982.0744956066796</v>
      </c>
      <c r="Z29" s="3">
        <f t="shared" si="26"/>
        <v>4534.5895568594296</v>
      </c>
      <c r="AA29" s="3">
        <f t="shared" si="26"/>
        <v>5157.3400234482897</v>
      </c>
      <c r="AB29" s="3">
        <f t="shared" si="26"/>
        <v>5841.9829109316261</v>
      </c>
    </row>
    <row r="30" spans="2:28" x14ac:dyDescent="0.2">
      <c r="B30" s="1" t="s">
        <v>30</v>
      </c>
      <c r="C30" s="3"/>
      <c r="D30" s="3"/>
      <c r="E30" s="3">
        <v>60.2</v>
      </c>
      <c r="F30" s="3"/>
      <c r="G30" s="3">
        <v>52.4</v>
      </c>
      <c r="H30" s="3">
        <v>86.6</v>
      </c>
      <c r="I30" s="3">
        <v>96.8</v>
      </c>
      <c r="J30" s="3">
        <f>+U30-I30-H30-G30</f>
        <v>126.69999999999999</v>
      </c>
      <c r="K30" s="3">
        <v>42.3</v>
      </c>
      <c r="L30" s="3">
        <v>95.7</v>
      </c>
      <c r="M30" s="3"/>
      <c r="P30" s="3">
        <v>321.2</v>
      </c>
      <c r="Q30" s="3">
        <v>288.60000000000002</v>
      </c>
      <c r="R30" s="3">
        <v>176.6</v>
      </c>
      <c r="S30" s="3">
        <v>270.2</v>
      </c>
      <c r="T30" s="3">
        <v>234.5</v>
      </c>
      <c r="U30" s="3">
        <v>362.5</v>
      </c>
      <c r="V30" s="3">
        <f>+V29*0.21</f>
        <v>533.2645332000003</v>
      </c>
      <c r="W30" s="3">
        <f t="shared" ref="W30:AB30" si="27">+W29*0.21</f>
        <v>658.70588322000015</v>
      </c>
      <c r="X30" s="3">
        <f t="shared" si="27"/>
        <v>751.20636313715988</v>
      </c>
      <c r="Y30" s="3">
        <f t="shared" si="27"/>
        <v>836.23564407740264</v>
      </c>
      <c r="Z30" s="3">
        <f t="shared" si="27"/>
        <v>952.26380694048021</v>
      </c>
      <c r="AA30" s="3">
        <f t="shared" si="27"/>
        <v>1083.0414049241408</v>
      </c>
      <c r="AB30" s="3">
        <f t="shared" si="27"/>
        <v>1226.8164112956415</v>
      </c>
    </row>
    <row r="31" spans="2:28" x14ac:dyDescent="0.2">
      <c r="B31" s="1" t="s">
        <v>31</v>
      </c>
      <c r="C31" s="3">
        <f t="shared" ref="C31:K31" si="28">+C29-C30</f>
        <v>0</v>
      </c>
      <c r="D31" s="3">
        <f t="shared" si="28"/>
        <v>0</v>
      </c>
      <c r="E31" s="3">
        <f>+E29-E30</f>
        <v>352.00000000000028</v>
      </c>
      <c r="F31" s="3">
        <f t="shared" si="28"/>
        <v>0</v>
      </c>
      <c r="G31" s="3">
        <f t="shared" si="28"/>
        <v>238.10000000000062</v>
      </c>
      <c r="H31" s="3">
        <f t="shared" si="28"/>
        <v>334.70000000000039</v>
      </c>
      <c r="I31" s="3">
        <f t="shared" si="28"/>
        <v>409.4000000000002</v>
      </c>
      <c r="J31" s="3">
        <f t="shared" si="28"/>
        <v>410.79999999999865</v>
      </c>
      <c r="K31" s="3">
        <f t="shared" si="28"/>
        <v>416.59999999999962</v>
      </c>
      <c r="L31" s="3">
        <f>+L29-L30</f>
        <v>495.00000000000017</v>
      </c>
      <c r="M31" s="3"/>
      <c r="P31" s="3">
        <f t="shared" ref="P31" si="29">+P29-P30</f>
        <v>1265.9000000000001</v>
      </c>
      <c r="Q31" s="3">
        <f>+Q29-Q30</f>
        <v>1442.8999999999996</v>
      </c>
      <c r="R31" s="3">
        <f t="shared" ref="R31:AB31" si="30">+R29-R30</f>
        <v>984.80000000000075</v>
      </c>
      <c r="S31" s="3">
        <f t="shared" si="30"/>
        <v>1143.9999999999995</v>
      </c>
      <c r="T31" s="3">
        <f t="shared" si="30"/>
        <v>1108.900000000001</v>
      </c>
      <c r="U31" s="3">
        <f t="shared" si="30"/>
        <v>1392.9999999999993</v>
      </c>
      <c r="V31" s="3">
        <f t="shared" si="30"/>
        <v>2006.0903868000014</v>
      </c>
      <c r="W31" s="3">
        <f t="shared" si="30"/>
        <v>2477.9887987800007</v>
      </c>
      <c r="X31" s="3">
        <f t="shared" si="30"/>
        <v>2825.9667946588397</v>
      </c>
      <c r="Y31" s="3">
        <f t="shared" si="30"/>
        <v>3145.8388515292772</v>
      </c>
      <c r="Z31" s="3">
        <f t="shared" si="30"/>
        <v>3582.3257499189494</v>
      </c>
      <c r="AA31" s="3">
        <f t="shared" si="30"/>
        <v>4074.2986185241489</v>
      </c>
      <c r="AB31" s="3">
        <f t="shared" si="30"/>
        <v>4615.166499635985</v>
      </c>
    </row>
    <row r="32" spans="2:28" x14ac:dyDescent="0.2">
      <c r="B32" s="1" t="s">
        <v>32</v>
      </c>
      <c r="C32" s="3"/>
      <c r="D32" s="3"/>
      <c r="E32" s="3">
        <v>4.9000000000000004</v>
      </c>
      <c r="F32" s="3"/>
      <c r="G32" s="3">
        <v>4.7</v>
      </c>
      <c r="H32" s="3">
        <v>5</v>
      </c>
      <c r="I32" s="3">
        <v>5.4</v>
      </c>
      <c r="J32" s="3">
        <f>+U32-I32-H32-G32</f>
        <v>5.5999999999999988</v>
      </c>
      <c r="K32" s="3">
        <v>4.5</v>
      </c>
      <c r="L32" s="3">
        <v>4.0999999999999996</v>
      </c>
      <c r="M32" s="3"/>
      <c r="P32" s="3">
        <v>15.6</v>
      </c>
      <c r="Q32" s="3">
        <v>17.3</v>
      </c>
      <c r="R32" s="3">
        <v>17.399999999999999</v>
      </c>
      <c r="S32" s="3">
        <v>14.1</v>
      </c>
      <c r="T32" s="3">
        <v>17.2</v>
      </c>
      <c r="U32" s="3">
        <v>20.7</v>
      </c>
      <c r="V32" s="3">
        <f>+U32*1.01</f>
        <v>20.907</v>
      </c>
      <c r="W32" s="3">
        <f t="shared" ref="W32:AB32" si="31">+V32*1.01</f>
        <v>21.116070000000001</v>
      </c>
      <c r="X32" s="3">
        <f t="shared" si="31"/>
        <v>21.327230700000001</v>
      </c>
      <c r="Y32" s="3">
        <f t="shared" si="31"/>
        <v>21.540503007000002</v>
      </c>
      <c r="Z32" s="3">
        <f t="shared" si="31"/>
        <v>21.75590803707</v>
      </c>
      <c r="AA32" s="3">
        <f t="shared" si="31"/>
        <v>21.973467117440702</v>
      </c>
      <c r="AB32" s="3">
        <f t="shared" si="31"/>
        <v>22.193201788615109</v>
      </c>
    </row>
    <row r="33" spans="2:113" x14ac:dyDescent="0.2">
      <c r="B33" s="5" t="s">
        <v>33</v>
      </c>
      <c r="C33" s="6">
        <f t="shared" ref="C33:K33" si="32">+C31-C32</f>
        <v>0</v>
      </c>
      <c r="D33" s="6">
        <f t="shared" si="32"/>
        <v>0</v>
      </c>
      <c r="E33" s="6">
        <f t="shared" si="32"/>
        <v>347.10000000000031</v>
      </c>
      <c r="F33" s="6">
        <f t="shared" si="32"/>
        <v>0</v>
      </c>
      <c r="G33" s="6">
        <f t="shared" si="32"/>
        <v>233.40000000000063</v>
      </c>
      <c r="H33" s="6">
        <f t="shared" si="32"/>
        <v>329.70000000000039</v>
      </c>
      <c r="I33" s="6">
        <f t="shared" si="32"/>
        <v>404.00000000000023</v>
      </c>
      <c r="J33" s="6">
        <f t="shared" si="32"/>
        <v>405.19999999999862</v>
      </c>
      <c r="K33" s="6">
        <f t="shared" si="32"/>
        <v>412.09999999999962</v>
      </c>
      <c r="L33" s="6">
        <f>+L31-L32</f>
        <v>490.90000000000015</v>
      </c>
      <c r="M33" s="6"/>
      <c r="N33" s="5"/>
      <c r="O33" s="5"/>
      <c r="P33" s="6">
        <f t="shared" ref="P33" si="33">+P31-P32</f>
        <v>1250.3000000000002</v>
      </c>
      <c r="Q33" s="6">
        <f t="shared" ref="Q33" si="34">+Q31-Q32</f>
        <v>1425.5999999999997</v>
      </c>
      <c r="R33" s="6">
        <f t="shared" ref="R33:AB33" si="35">+R31-R32</f>
        <v>967.40000000000077</v>
      </c>
      <c r="S33" s="6">
        <f t="shared" si="35"/>
        <v>1129.8999999999996</v>
      </c>
      <c r="T33" s="6">
        <f t="shared" si="35"/>
        <v>1091.700000000001</v>
      </c>
      <c r="U33" s="6">
        <f t="shared" si="35"/>
        <v>1372.2999999999993</v>
      </c>
      <c r="V33" s="6">
        <f t="shared" si="35"/>
        <v>1985.1833868000015</v>
      </c>
      <c r="W33" s="6">
        <f t="shared" si="35"/>
        <v>2456.8727287800007</v>
      </c>
      <c r="X33" s="6">
        <f t="shared" si="35"/>
        <v>2804.6395639588395</v>
      </c>
      <c r="Y33" s="6">
        <f t="shared" si="35"/>
        <v>3124.2983485222771</v>
      </c>
      <c r="Z33" s="6">
        <f t="shared" si="35"/>
        <v>3560.5698418818793</v>
      </c>
      <c r="AA33" s="6">
        <f t="shared" si="35"/>
        <v>4052.3251514067083</v>
      </c>
      <c r="AB33" s="6">
        <f t="shared" si="35"/>
        <v>4592.9732978473703</v>
      </c>
      <c r="AC33" s="6">
        <f>+AB33*(1+$AE$4)</f>
        <v>4638.9030308258443</v>
      </c>
      <c r="AD33" s="6">
        <f t="shared" ref="AD33:CO33" si="36">+AC33*(1+$AE$4)</f>
        <v>4685.2920611341024</v>
      </c>
      <c r="AE33" s="6">
        <f t="shared" si="36"/>
        <v>4732.1449817454431</v>
      </c>
      <c r="AF33" s="6">
        <f t="shared" si="36"/>
        <v>4779.4664315628979</v>
      </c>
      <c r="AG33" s="6">
        <f t="shared" si="36"/>
        <v>4827.2610958785272</v>
      </c>
      <c r="AH33" s="6">
        <f t="shared" si="36"/>
        <v>4875.5337068373128</v>
      </c>
      <c r="AI33" s="6">
        <f t="shared" si="36"/>
        <v>4924.2890439056864</v>
      </c>
      <c r="AJ33" s="6">
        <f t="shared" si="36"/>
        <v>4973.5319343447436</v>
      </c>
      <c r="AK33" s="6">
        <f t="shared" si="36"/>
        <v>5023.267253688191</v>
      </c>
      <c r="AL33" s="6">
        <f t="shared" si="36"/>
        <v>5073.4999262250731</v>
      </c>
      <c r="AM33" s="6">
        <f t="shared" si="36"/>
        <v>5124.2349254873243</v>
      </c>
      <c r="AN33" s="6">
        <f t="shared" si="36"/>
        <v>5175.4772747421976</v>
      </c>
      <c r="AO33" s="6">
        <f t="shared" si="36"/>
        <v>5227.2320474896196</v>
      </c>
      <c r="AP33" s="6">
        <f t="shared" si="36"/>
        <v>5279.504367964516</v>
      </c>
      <c r="AQ33" s="6">
        <f t="shared" si="36"/>
        <v>5332.2994116441614</v>
      </c>
      <c r="AR33" s="6">
        <f t="shared" si="36"/>
        <v>5385.6224057606032</v>
      </c>
      <c r="AS33" s="6">
        <f t="shared" si="36"/>
        <v>5439.4786298182089</v>
      </c>
      <c r="AT33" s="6">
        <f t="shared" si="36"/>
        <v>5493.8734161163911</v>
      </c>
      <c r="AU33" s="6">
        <f t="shared" si="36"/>
        <v>5548.8121502775548</v>
      </c>
      <c r="AV33" s="6">
        <f t="shared" si="36"/>
        <v>5604.3002717803301</v>
      </c>
      <c r="AW33" s="6">
        <f t="shared" si="36"/>
        <v>5660.3432744981337</v>
      </c>
      <c r="AX33" s="6">
        <f t="shared" si="36"/>
        <v>5716.9467072431153</v>
      </c>
      <c r="AY33" s="6">
        <f t="shared" si="36"/>
        <v>5774.1161743155462</v>
      </c>
      <c r="AZ33" s="6">
        <f t="shared" si="36"/>
        <v>5831.8573360587015</v>
      </c>
      <c r="BA33" s="6">
        <f t="shared" si="36"/>
        <v>5890.1759094192885</v>
      </c>
      <c r="BB33" s="6">
        <f t="shared" si="36"/>
        <v>5949.0776685134815</v>
      </c>
      <c r="BC33" s="6">
        <f t="shared" si="36"/>
        <v>6008.5684451986162</v>
      </c>
      <c r="BD33" s="6">
        <f t="shared" si="36"/>
        <v>6068.654129650602</v>
      </c>
      <c r="BE33" s="6">
        <f t="shared" si="36"/>
        <v>6129.3406709471083</v>
      </c>
      <c r="BF33" s="6">
        <f t="shared" si="36"/>
        <v>6190.6340776565794</v>
      </c>
      <c r="BG33" s="6">
        <f t="shared" si="36"/>
        <v>6252.5404184331455</v>
      </c>
      <c r="BH33" s="6">
        <f t="shared" si="36"/>
        <v>6315.0658226174774</v>
      </c>
      <c r="BI33" s="6">
        <f t="shared" si="36"/>
        <v>6378.2164808436519</v>
      </c>
      <c r="BJ33" s="6">
        <f t="shared" si="36"/>
        <v>6441.9986456520883</v>
      </c>
      <c r="BK33" s="6">
        <f t="shared" si="36"/>
        <v>6506.418632108609</v>
      </c>
      <c r="BL33" s="6">
        <f t="shared" si="36"/>
        <v>6571.4828184296948</v>
      </c>
      <c r="BM33" s="6">
        <f t="shared" si="36"/>
        <v>6637.1976466139922</v>
      </c>
      <c r="BN33" s="6">
        <f t="shared" si="36"/>
        <v>6703.5696230801323</v>
      </c>
      <c r="BO33" s="6">
        <f t="shared" si="36"/>
        <v>6770.6053193109337</v>
      </c>
      <c r="BP33" s="6">
        <f t="shared" si="36"/>
        <v>6838.311372504043</v>
      </c>
      <c r="BQ33" s="6">
        <f t="shared" si="36"/>
        <v>6906.6944862290839</v>
      </c>
      <c r="BR33" s="6">
        <f t="shared" si="36"/>
        <v>6975.761431091375</v>
      </c>
      <c r="BS33" s="6">
        <f t="shared" si="36"/>
        <v>7045.5190454022886</v>
      </c>
      <c r="BT33" s="6">
        <f t="shared" si="36"/>
        <v>7115.9742358563117</v>
      </c>
      <c r="BU33" s="6">
        <f t="shared" si="36"/>
        <v>7187.1339782148752</v>
      </c>
      <c r="BV33" s="6">
        <f t="shared" si="36"/>
        <v>7259.0053179970237</v>
      </c>
      <c r="BW33" s="6">
        <f t="shared" si="36"/>
        <v>7331.5953711769944</v>
      </c>
      <c r="BX33" s="6">
        <f t="shared" si="36"/>
        <v>7404.9113248887643</v>
      </c>
      <c r="BY33" s="6">
        <f t="shared" si="36"/>
        <v>7478.9604381376521</v>
      </c>
      <c r="BZ33" s="6">
        <f t="shared" si="36"/>
        <v>7553.7500425190283</v>
      </c>
      <c r="CA33" s="6">
        <f t="shared" si="36"/>
        <v>7629.2875429442183</v>
      </c>
      <c r="CB33" s="6">
        <f t="shared" si="36"/>
        <v>7705.5804183736609</v>
      </c>
      <c r="CC33" s="6">
        <f t="shared" si="36"/>
        <v>7782.6362225573976</v>
      </c>
      <c r="CD33" s="6">
        <f t="shared" si="36"/>
        <v>7860.462584782972</v>
      </c>
      <c r="CE33" s="6">
        <f t="shared" si="36"/>
        <v>7939.067210630802</v>
      </c>
      <c r="CF33" s="6">
        <f t="shared" si="36"/>
        <v>8018.4578827371097</v>
      </c>
      <c r="CG33" s="6">
        <f t="shared" si="36"/>
        <v>8098.642461564481</v>
      </c>
      <c r="CH33" s="6">
        <f t="shared" si="36"/>
        <v>8179.6288861801258</v>
      </c>
      <c r="CI33" s="6">
        <f t="shared" si="36"/>
        <v>8261.425175041928</v>
      </c>
      <c r="CJ33" s="6">
        <f t="shared" si="36"/>
        <v>8344.0394267923475</v>
      </c>
      <c r="CK33" s="6">
        <f t="shared" si="36"/>
        <v>8427.4798210602712</v>
      </c>
      <c r="CL33" s="6">
        <f t="shared" si="36"/>
        <v>8511.7546192708742</v>
      </c>
      <c r="CM33" s="6">
        <f t="shared" si="36"/>
        <v>8596.8721654635829</v>
      </c>
      <c r="CN33" s="6">
        <f t="shared" si="36"/>
        <v>8682.8408871182182</v>
      </c>
      <c r="CO33" s="6">
        <f t="shared" si="36"/>
        <v>8769.6692959894008</v>
      </c>
      <c r="CP33" s="6">
        <f t="shared" ref="CP33:DI33" si="37">+CO33*(1+$AE$4)</f>
        <v>8857.3659889492956</v>
      </c>
      <c r="CQ33" s="6">
        <f t="shared" si="37"/>
        <v>8945.9396488387883</v>
      </c>
      <c r="CR33" s="6">
        <f t="shared" si="37"/>
        <v>9035.3990453271763</v>
      </c>
      <c r="CS33" s="6">
        <f t="shared" si="37"/>
        <v>9125.753035780448</v>
      </c>
      <c r="CT33" s="6">
        <f t="shared" si="37"/>
        <v>9217.0105661382531</v>
      </c>
      <c r="CU33" s="6">
        <f t="shared" si="37"/>
        <v>9309.1806717996351</v>
      </c>
      <c r="CV33" s="6">
        <f t="shared" si="37"/>
        <v>9402.2724785176324</v>
      </c>
      <c r="CW33" s="6">
        <f t="shared" si="37"/>
        <v>9496.2952033028087</v>
      </c>
      <c r="CX33" s="6">
        <f t="shared" si="37"/>
        <v>9591.2581553358377</v>
      </c>
      <c r="CY33" s="6">
        <f t="shared" si="37"/>
        <v>9687.1707368891966</v>
      </c>
      <c r="CZ33" s="6">
        <f t="shared" si="37"/>
        <v>9784.0424442580879</v>
      </c>
      <c r="DA33" s="6">
        <f t="shared" si="37"/>
        <v>9881.882868700668</v>
      </c>
      <c r="DB33" s="6">
        <f t="shared" si="37"/>
        <v>9980.7016973876744</v>
      </c>
      <c r="DC33" s="6">
        <f t="shared" si="37"/>
        <v>10080.508714361551</v>
      </c>
      <c r="DD33" s="6">
        <f t="shared" si="37"/>
        <v>10181.313801505166</v>
      </c>
      <c r="DE33" s="6">
        <f t="shared" si="37"/>
        <v>10283.126939520218</v>
      </c>
      <c r="DF33" s="6">
        <f t="shared" si="37"/>
        <v>10385.958208915421</v>
      </c>
      <c r="DG33" s="6">
        <f t="shared" si="37"/>
        <v>10489.817791004576</v>
      </c>
      <c r="DH33" s="6">
        <f t="shared" si="37"/>
        <v>10594.715968914621</v>
      </c>
      <c r="DI33" s="6">
        <f t="shared" si="37"/>
        <v>10700.663128603768</v>
      </c>
    </row>
    <row r="34" spans="2:113" x14ac:dyDescent="0.2">
      <c r="B34" s="1" t="s">
        <v>2</v>
      </c>
      <c r="C34" s="3"/>
      <c r="D34" s="3"/>
      <c r="E34" s="3">
        <v>286.3</v>
      </c>
      <c r="F34" s="3"/>
      <c r="G34" s="3">
        <v>285.89999999999998</v>
      </c>
      <c r="H34" s="3">
        <v>286.3</v>
      </c>
      <c r="I34" s="3">
        <v>286.89999999999998</v>
      </c>
      <c r="J34" s="3"/>
      <c r="K34" s="3">
        <v>287.8</v>
      </c>
      <c r="L34" s="3">
        <v>287</v>
      </c>
      <c r="M34" s="3"/>
      <c r="P34" s="3">
        <v>292.8</v>
      </c>
      <c r="Q34" s="3">
        <v>292.5</v>
      </c>
      <c r="R34" s="3">
        <v>290.3</v>
      </c>
      <c r="S34" s="3">
        <v>289.10000000000002</v>
      </c>
      <c r="T34" s="3">
        <v>286.60000000000002</v>
      </c>
      <c r="U34" s="3">
        <v>286.5</v>
      </c>
      <c r="V34" s="3">
        <f>+U34</f>
        <v>286.5</v>
      </c>
      <c r="W34" s="3">
        <f t="shared" ref="W34:AB34" si="38">+V34</f>
        <v>286.5</v>
      </c>
      <c r="X34" s="3">
        <f t="shared" si="38"/>
        <v>286.5</v>
      </c>
      <c r="Y34" s="3">
        <f t="shared" si="38"/>
        <v>286.5</v>
      </c>
      <c r="Z34" s="3">
        <f t="shared" si="38"/>
        <v>286.5</v>
      </c>
      <c r="AA34" s="3">
        <f t="shared" si="38"/>
        <v>286.5</v>
      </c>
      <c r="AB34" s="3">
        <f t="shared" si="38"/>
        <v>286.5</v>
      </c>
    </row>
    <row r="35" spans="2:113" x14ac:dyDescent="0.2">
      <c r="B35" s="1" t="s">
        <v>34</v>
      </c>
      <c r="C35" s="7" t="e">
        <f t="shared" ref="C35:H35" si="39">+C33/C34</f>
        <v>#DIV/0!</v>
      </c>
      <c r="D35" s="7" t="e">
        <f t="shared" si="39"/>
        <v>#DIV/0!</v>
      </c>
      <c r="E35" s="7">
        <f t="shared" si="39"/>
        <v>1.212364652462453</v>
      </c>
      <c r="F35" s="7" t="e">
        <f t="shared" si="39"/>
        <v>#DIV/0!</v>
      </c>
      <c r="G35" s="7">
        <f t="shared" si="39"/>
        <v>0.81636935991605686</v>
      </c>
      <c r="H35" s="7">
        <f t="shared" si="39"/>
        <v>1.151589242053791</v>
      </c>
      <c r="I35" s="7">
        <f t="shared" ref="I35" si="40">+I33/I34</f>
        <v>1.4081561519693282</v>
      </c>
      <c r="J35" s="7" t="e">
        <f t="shared" ref="J35" si="41">+J33/J34</f>
        <v>#DIV/0!</v>
      </c>
      <c r="K35" s="7">
        <f t="shared" ref="K35" si="42">+K33/K34</f>
        <v>1.4318971507991647</v>
      </c>
      <c r="L35" s="7">
        <f t="shared" ref="L35" si="43">+L33/L34</f>
        <v>1.7104529616724744</v>
      </c>
      <c r="M35" s="3"/>
      <c r="P35" s="7">
        <f t="shared" ref="P35:Q35" si="44">+P33/P34</f>
        <v>4.2701502732240444</v>
      </c>
      <c r="Q35" s="7">
        <f t="shared" si="44"/>
        <v>4.8738461538461531</v>
      </c>
      <c r="R35" s="7">
        <f t="shared" ref="R35:AB35" si="45">+R33/R34</f>
        <v>3.3324147433689313</v>
      </c>
      <c r="S35" s="7">
        <f t="shared" si="45"/>
        <v>3.9083362158422674</v>
      </c>
      <c r="T35" s="7">
        <f t="shared" si="45"/>
        <v>3.8091416608513637</v>
      </c>
      <c r="U35" s="7">
        <f t="shared" si="45"/>
        <v>4.789877835951132</v>
      </c>
      <c r="V35" s="7">
        <f t="shared" si="45"/>
        <v>6.9290868649214712</v>
      </c>
      <c r="W35" s="7">
        <f t="shared" si="45"/>
        <v>8.5754720027225151</v>
      </c>
      <c r="X35" s="7">
        <f t="shared" si="45"/>
        <v>9.7893178497690734</v>
      </c>
      <c r="Y35" s="7">
        <f t="shared" si="45"/>
        <v>10.905055317704283</v>
      </c>
      <c r="Z35" s="7">
        <f t="shared" si="45"/>
        <v>12.42781794723169</v>
      </c>
      <c r="AA35" s="7">
        <f t="shared" si="45"/>
        <v>14.14424136616652</v>
      </c>
      <c r="AB35" s="7">
        <f t="shared" si="45"/>
        <v>16.031320411334626</v>
      </c>
    </row>
    <row r="37" spans="2:113" x14ac:dyDescent="0.2">
      <c r="B37" s="1" t="s">
        <v>19</v>
      </c>
      <c r="I37" s="8">
        <f>+I3/E3-1</f>
        <v>7.0165372932838421E-2</v>
      </c>
      <c r="K37" s="8">
        <f>+K3/G3-1</f>
        <v>3.8313110593470645E-2</v>
      </c>
      <c r="L37" s="8">
        <f>+L3/H3-1</f>
        <v>2.1998196341149079E-2</v>
      </c>
      <c r="Q37" s="8">
        <f t="shared" ref="Q37:S37" si="46">+Q3/P3-1</f>
        <v>2.2759400621995995E-2</v>
      </c>
      <c r="R37" s="8">
        <f t="shared" si="46"/>
        <v>-6.53963866126962E-2</v>
      </c>
      <c r="S37" s="8">
        <f t="shared" si="46"/>
        <v>7.2539243234107209E-2</v>
      </c>
      <c r="T37" s="8">
        <f>+T3/S3-1</f>
        <v>0.12733790984212034</v>
      </c>
      <c r="U37" s="8">
        <f t="shared" ref="U37:AB38" si="47">+U3/T3-1</f>
        <v>7.606017717670488E-2</v>
      </c>
      <c r="V37" s="8">
        <f t="shared" si="47"/>
        <v>6.0000000000000053E-2</v>
      </c>
      <c r="W37" s="8">
        <f t="shared" si="47"/>
        <v>6.0000000000000053E-2</v>
      </c>
      <c r="X37" s="8">
        <f t="shared" si="47"/>
        <v>6.0000000000000053E-2</v>
      </c>
      <c r="Y37" s="8">
        <f t="shared" si="47"/>
        <v>6.0000000000000053E-2</v>
      </c>
      <c r="Z37" s="8">
        <f t="shared" si="47"/>
        <v>6.0000000000000053E-2</v>
      </c>
      <c r="AA37" s="8">
        <f t="shared" si="47"/>
        <v>6.0000000000000053E-2</v>
      </c>
      <c r="AB37" s="8">
        <f t="shared" si="47"/>
        <v>6.0000000000000053E-2</v>
      </c>
    </row>
    <row r="38" spans="2:113" x14ac:dyDescent="0.2">
      <c r="B38" s="1" t="s">
        <v>20</v>
      </c>
      <c r="I38" s="8">
        <f>+I4/E4-1</f>
        <v>0.11454056349992925</v>
      </c>
      <c r="K38" s="8">
        <f>+K4/G4-1</f>
        <v>0.1008197900186969</v>
      </c>
      <c r="L38" s="8">
        <f>+L4/H4-1</f>
        <v>8.7515054195102415E-2</v>
      </c>
      <c r="Q38" s="8">
        <f t="shared" ref="Q38:S38" si="48">+Q4/P4-1</f>
        <v>4.9385378477463826E-2</v>
      </c>
      <c r="R38" s="8">
        <f t="shared" si="48"/>
        <v>-4.49650637073572E-2</v>
      </c>
      <c r="S38" s="8">
        <f t="shared" si="48"/>
        <v>0.11025994147013263</v>
      </c>
      <c r="T38" s="8">
        <f t="shared" ref="T38" si="49">+T4/S4-1</f>
        <v>6.2718040158151744E-2</v>
      </c>
      <c r="U38" s="8">
        <f t="shared" si="47"/>
        <v>9.5491683688357254E-2</v>
      </c>
      <c r="V38" s="8">
        <f t="shared" si="47"/>
        <v>6.0000000000000053E-2</v>
      </c>
      <c r="W38" s="8">
        <f t="shared" si="47"/>
        <v>6.0000000000000053E-2</v>
      </c>
      <c r="X38" s="8">
        <f t="shared" si="47"/>
        <v>6.0000000000000053E-2</v>
      </c>
      <c r="Y38" s="8">
        <f t="shared" si="47"/>
        <v>6.0000000000000053E-2</v>
      </c>
      <c r="Z38" s="8">
        <f t="shared" si="47"/>
        <v>6.0000000000000053E-2</v>
      </c>
      <c r="AA38" s="8">
        <f t="shared" si="47"/>
        <v>6.0000000000000053E-2</v>
      </c>
      <c r="AB38" s="8">
        <f t="shared" si="47"/>
        <v>6.0000000000000053E-2</v>
      </c>
    </row>
    <row r="39" spans="2:113" x14ac:dyDescent="0.2">
      <c r="B39" s="1" t="s">
        <v>95</v>
      </c>
      <c r="K39" s="9">
        <f>+K14/G14-1</f>
        <v>1.6638107346194309E-2</v>
      </c>
      <c r="L39" s="9">
        <f>+L14/H14-1</f>
        <v>1.4139827179890041E-2</v>
      </c>
      <c r="T39" s="8">
        <f t="shared" ref="T39" si="50">+T14/S14-1</f>
        <v>9.0912005642924676E-2</v>
      </c>
      <c r="U39" s="8">
        <f>+U14/T14-1</f>
        <v>6.1249081557678275E-2</v>
      </c>
    </row>
    <row r="40" spans="2:113" x14ac:dyDescent="0.2">
      <c r="B40" s="1" t="s">
        <v>96</v>
      </c>
      <c r="K40" s="9">
        <f t="shared" ref="K40:L43" si="51">+K15/G15-1</f>
        <v>0.12216513111268612</v>
      </c>
      <c r="L40" s="9">
        <f t="shared" si="51"/>
        <v>7.2079861656972222E-2</v>
      </c>
      <c r="T40" s="8">
        <f t="shared" ref="T40:U40" si="52">+T15/S15-1</f>
        <v>0.11729857819905209</v>
      </c>
      <c r="U40" s="8">
        <f t="shared" si="52"/>
        <v>0.12795288914961289</v>
      </c>
    </row>
    <row r="41" spans="2:113" x14ac:dyDescent="0.2">
      <c r="B41" s="1" t="s">
        <v>97</v>
      </c>
      <c r="K41" s="9">
        <f t="shared" si="51"/>
        <v>5.2673163023442271E-4</v>
      </c>
      <c r="L41" s="9">
        <f t="shared" si="51"/>
        <v>-2.8147389969293002E-3</v>
      </c>
      <c r="T41" s="8">
        <f t="shared" ref="T41:U41" si="53">+T16/S16-1</f>
        <v>0.27835138794854442</v>
      </c>
      <c r="U41" s="8">
        <f t="shared" si="53"/>
        <v>4.9983449189010321E-2</v>
      </c>
    </row>
    <row r="42" spans="2:113" x14ac:dyDescent="0.2">
      <c r="B42" s="1" t="s">
        <v>98</v>
      </c>
      <c r="K42" s="9">
        <f t="shared" si="51"/>
        <v>9.3262119967132406E-2</v>
      </c>
      <c r="L42" s="9">
        <f t="shared" si="51"/>
        <v>9.9256505576208243E-2</v>
      </c>
      <c r="T42" s="8">
        <f t="shared" ref="T42:U42" si="54">+T17/S17-1</f>
        <v>9.0005796141425787E-2</v>
      </c>
      <c r="U42" s="8">
        <f t="shared" si="54"/>
        <v>9.7082953509571412E-2</v>
      </c>
    </row>
    <row r="43" spans="2:113" x14ac:dyDescent="0.2">
      <c r="B43" s="1" t="s">
        <v>99</v>
      </c>
      <c r="K43" s="9">
        <f t="shared" si="51"/>
        <v>-1</v>
      </c>
      <c r="L43" s="9">
        <f t="shared" si="51"/>
        <v>-1</v>
      </c>
      <c r="T43" s="8">
        <f t="shared" ref="T43:U43" si="55">+T18/S18-1</f>
        <v>-0.10999281092739033</v>
      </c>
      <c r="U43" s="8">
        <f t="shared" si="55"/>
        <v>-0.4426494345718901</v>
      </c>
    </row>
    <row r="44" spans="2:113" x14ac:dyDescent="0.2">
      <c r="B44" s="5" t="s">
        <v>37</v>
      </c>
      <c r="C44" s="5"/>
      <c r="D44" s="5"/>
      <c r="E44" s="5"/>
      <c r="F44" s="5"/>
      <c r="G44" s="5"/>
      <c r="H44" s="5"/>
      <c r="I44" s="10">
        <f>+I20/E20-1</f>
        <v>7.8707110348022802E-2</v>
      </c>
      <c r="J44" s="5"/>
      <c r="K44" s="10">
        <f>+K20/G20-1</f>
        <v>5.0481576884309431E-2</v>
      </c>
      <c r="L44" s="10">
        <f>+L20/H20-1</f>
        <v>3.4708340904960888E-2</v>
      </c>
      <c r="Q44" s="10">
        <f t="shared" ref="Q44:S44" si="56">+Q20/P20-1</f>
        <v>2.7810278102780916E-2</v>
      </c>
      <c r="R44" s="10">
        <f t="shared" si="56"/>
        <v>-6.1439261264129907E-2</v>
      </c>
      <c r="S44" s="10">
        <f t="shared" si="56"/>
        <v>7.9973198079760888E-2</v>
      </c>
      <c r="T44" s="10">
        <f>+T20/S20-1</f>
        <v>0.11424554900220696</v>
      </c>
      <c r="U44" s="10">
        <f t="shared" ref="U44:AB44" si="57">+U20/T20-1</f>
        <v>7.981505236893649E-2</v>
      </c>
      <c r="V44" s="10">
        <f t="shared" si="57"/>
        <v>6.0000000000000053E-2</v>
      </c>
      <c r="W44" s="10">
        <f t="shared" si="57"/>
        <v>6.0000000000000053E-2</v>
      </c>
      <c r="X44" s="10">
        <f t="shared" si="57"/>
        <v>6.0000000000000053E-2</v>
      </c>
      <c r="Y44" s="10">
        <f t="shared" si="57"/>
        <v>6.0000000000000275E-2</v>
      </c>
      <c r="Z44" s="10">
        <f t="shared" si="57"/>
        <v>6.0000000000000053E-2</v>
      </c>
      <c r="AA44" s="10">
        <f t="shared" si="57"/>
        <v>6.0000000000000053E-2</v>
      </c>
      <c r="AB44" s="10">
        <f t="shared" si="57"/>
        <v>6.0000000000000053E-2</v>
      </c>
    </row>
    <row r="46" spans="2:113" x14ac:dyDescent="0.2">
      <c r="B46" s="1" t="s">
        <v>38</v>
      </c>
      <c r="C46" s="9"/>
      <c r="D46" s="9"/>
      <c r="E46" s="9">
        <f>+(E3-E21)/E3</f>
        <v>0.36648666891663856</v>
      </c>
      <c r="F46" s="9"/>
      <c r="G46" s="9">
        <f t="shared" ref="G46" si="58">+(G3-G21)/G3</f>
        <v>0.37478705281090297</v>
      </c>
      <c r="H46" s="9">
        <f>+(H3-H21)/H3</f>
        <v>0.38955810358155119</v>
      </c>
      <c r="I46" s="9">
        <f t="shared" ref="I46:I47" si="59">+(I3-I21)/I3</f>
        <v>0.41086126967107134</v>
      </c>
      <c r="J46" s="9"/>
      <c r="K46" s="9">
        <f>+(K3-K21)/K3</f>
        <v>0.43773648083040345</v>
      </c>
      <c r="L46" s="9">
        <f>+(L3-L21)/L3</f>
        <v>0.44199678547792381</v>
      </c>
      <c r="P46" s="9">
        <f t="shared" ref="P46:R46" si="60">+(P3-P21)/P3</f>
        <v>0.44357607334706572</v>
      </c>
      <c r="Q46" s="9">
        <f t="shared" si="60"/>
        <v>0.44540428472702143</v>
      </c>
      <c r="R46" s="9">
        <f t="shared" si="60"/>
        <v>0.42098535905182433</v>
      </c>
      <c r="S46" s="9">
        <f t="shared" ref="S46:U46" si="61">+(S3-S21)/S3</f>
        <v>0.39912146789713687</v>
      </c>
      <c r="T46" s="9">
        <f t="shared" si="61"/>
        <v>0.36985200328493301</v>
      </c>
      <c r="U46" s="9">
        <f t="shared" si="61"/>
        <v>0.4000714471291244</v>
      </c>
      <c r="V46" s="9">
        <f t="shared" ref="V46:AB46" si="62">+(V3-V21)/V3</f>
        <v>0.42000000000000004</v>
      </c>
      <c r="W46" s="9">
        <f t="shared" si="62"/>
        <v>0.44</v>
      </c>
      <c r="X46" s="9">
        <f t="shared" si="62"/>
        <v>0.44499999999999995</v>
      </c>
      <c r="Y46" s="9">
        <f t="shared" si="62"/>
        <v>0.44499999999999995</v>
      </c>
      <c r="Z46" s="9">
        <f t="shared" si="62"/>
        <v>0.44499999999999995</v>
      </c>
      <c r="AA46" s="9">
        <f t="shared" si="62"/>
        <v>0.44499999999999995</v>
      </c>
      <c r="AB46" s="9">
        <f t="shared" si="62"/>
        <v>0.4449999999999999</v>
      </c>
    </row>
    <row r="47" spans="2:113" x14ac:dyDescent="0.2">
      <c r="B47" s="1" t="s">
        <v>39</v>
      </c>
      <c r="C47" s="9"/>
      <c r="D47" s="9"/>
      <c r="E47" s="9">
        <f>+(E4-E22)/E4</f>
        <v>0.41313889282174709</v>
      </c>
      <c r="F47" s="9"/>
      <c r="G47" s="9">
        <f t="shared" ref="G47" si="63">+(G4-G22)/G4</f>
        <v>0.41478498489860494</v>
      </c>
      <c r="H47" s="9">
        <f>+(H4-H22)/H4</f>
        <v>0.41188277800080286</v>
      </c>
      <c r="I47" s="9">
        <f t="shared" si="59"/>
        <v>0.41260162601626021</v>
      </c>
      <c r="J47" s="9"/>
      <c r="K47" s="9">
        <f>+(K4-K22)/K4</f>
        <v>0.41350927619545336</v>
      </c>
      <c r="L47" s="9">
        <f>+(L4-L22)/L4</f>
        <v>0.42118863049095612</v>
      </c>
      <c r="P47" s="9">
        <f t="shared" ref="P47:R47" si="64">+(P4-P22)/P4</f>
        <v>0.41138667241751131</v>
      </c>
      <c r="Q47" s="9">
        <f t="shared" si="64"/>
        <v>0.41294697903822442</v>
      </c>
      <c r="R47" s="9">
        <f t="shared" si="64"/>
        <v>0.38694267515923564</v>
      </c>
      <c r="S47" s="9">
        <f t="shared" ref="S47:U47" si="65">+(S4-S22)/S4</f>
        <v>0.4127839367392821</v>
      </c>
      <c r="T47" s="9">
        <f t="shared" si="65"/>
        <v>0.40976072366501309</v>
      </c>
      <c r="U47" s="9">
        <f t="shared" si="65"/>
        <v>0.41209962043017911</v>
      </c>
      <c r="V47" s="9">
        <f t="shared" ref="V47:AB47" si="66">+(V4-V22)/V4</f>
        <v>0.42000000000000004</v>
      </c>
      <c r="W47" s="9">
        <f t="shared" si="66"/>
        <v>0.42000000000000004</v>
      </c>
      <c r="X47" s="9">
        <f t="shared" si="66"/>
        <v>0.42</v>
      </c>
      <c r="Y47" s="9">
        <f t="shared" si="66"/>
        <v>0.42</v>
      </c>
      <c r="Z47" s="9">
        <f t="shared" si="66"/>
        <v>0.4200000000000001</v>
      </c>
      <c r="AA47" s="9">
        <f t="shared" si="66"/>
        <v>0.42</v>
      </c>
      <c r="AB47" s="9">
        <f t="shared" si="66"/>
        <v>0.42000000000000004</v>
      </c>
    </row>
    <row r="48" spans="2:113" x14ac:dyDescent="0.2">
      <c r="B48" s="1" t="s">
        <v>40</v>
      </c>
      <c r="C48" s="9"/>
      <c r="D48" s="9"/>
      <c r="E48" s="9">
        <f>+E23/E20</f>
        <v>0.37546671027171402</v>
      </c>
      <c r="F48" s="9"/>
      <c r="G48" s="9">
        <f t="shared" ref="G48" si="67">+G23/G20</f>
        <v>0.38257363646544978</v>
      </c>
      <c r="H48" s="9">
        <f>+H23/H20</f>
        <v>0.3938890475325148</v>
      </c>
      <c r="I48" s="9">
        <f t="shared" ref="I48" si="68">+I23/I20</f>
        <v>0.41120739748869412</v>
      </c>
      <c r="J48" s="9"/>
      <c r="K48" s="9">
        <f>+K23/K20</f>
        <v>0.43279405101415275</v>
      </c>
      <c r="L48" s="9">
        <f>+L23/L20</f>
        <v>0.43775402679512271</v>
      </c>
      <c r="P48" s="9">
        <f t="shared" ref="P48:R48" si="69">+P23/P20</f>
        <v>0.437469829243747</v>
      </c>
      <c r="Q48" s="9">
        <f t="shared" si="69"/>
        <v>0.43911797484476994</v>
      </c>
      <c r="R48" s="9">
        <f t="shared" si="69"/>
        <v>0.41427626333734796</v>
      </c>
      <c r="S48" s="9">
        <f t="shared" ref="S48:AB48" si="70">+S23/S20</f>
        <v>0.40188956342131921</v>
      </c>
      <c r="T48" s="9">
        <f t="shared" si="70"/>
        <v>0.37756382243899694</v>
      </c>
      <c r="U48" s="9">
        <f t="shared" si="70"/>
        <v>0.40242947220010183</v>
      </c>
      <c r="V48" s="9">
        <f t="shared" si="70"/>
        <v>0.4200000000000001</v>
      </c>
      <c r="W48" s="9">
        <f t="shared" si="70"/>
        <v>0.43607916345739617</v>
      </c>
      <c r="X48" s="9">
        <f t="shared" si="70"/>
        <v>0.44009895432174512</v>
      </c>
      <c r="Y48" s="9">
        <f t="shared" si="70"/>
        <v>0.44009895432174512</v>
      </c>
      <c r="Z48" s="9">
        <f t="shared" si="70"/>
        <v>0.44009895432174506</v>
      </c>
      <c r="AA48" s="9">
        <f t="shared" si="70"/>
        <v>0.44009895432174512</v>
      </c>
      <c r="AB48" s="9">
        <f t="shared" si="70"/>
        <v>0.44009895432174512</v>
      </c>
    </row>
    <row r="49" spans="2:28" x14ac:dyDescent="0.2">
      <c r="B49" s="1" t="s">
        <v>41</v>
      </c>
      <c r="C49" s="9"/>
      <c r="D49" s="9"/>
      <c r="E49" s="9">
        <f>+E26/E20</f>
        <v>0.1316327364892487</v>
      </c>
      <c r="F49" s="9"/>
      <c r="G49" s="9">
        <f t="shared" ref="G49" si="71">+G26/G20</f>
        <v>9.8443274722813459E-2</v>
      </c>
      <c r="H49" s="9">
        <f>+H26/H20</f>
        <v>0.12582747073025113</v>
      </c>
      <c r="I49" s="9">
        <f t="shared" ref="I49" si="72">+I26/I20</f>
        <v>0.14299790303428417</v>
      </c>
      <c r="J49" s="9"/>
      <c r="K49" s="9">
        <f>+K26/K20</f>
        <v>0.13803672805778397</v>
      </c>
      <c r="L49" s="9">
        <f>+L26/L20</f>
        <v>0.16481007576897988</v>
      </c>
      <c r="P49" s="15">
        <f t="shared" ref="P49:R49" si="73">+P26/P20</f>
        <v>0.14140777771414076</v>
      </c>
      <c r="Q49" s="15">
        <f t="shared" si="73"/>
        <v>0.1468874383060022</v>
      </c>
      <c r="R49" s="15">
        <f t="shared" si="73"/>
        <v>0.11837797492833037</v>
      </c>
      <c r="S49" s="15">
        <f t="shared" ref="S49:AB49" si="74">+S26/S20</f>
        <v>0.12554680321367143</v>
      </c>
      <c r="T49" s="15">
        <f t="shared" si="74"/>
        <v>0.11012982985381813</v>
      </c>
      <c r="U49" s="15">
        <f t="shared" si="74"/>
        <v>0.13004399420373097</v>
      </c>
      <c r="V49" s="15">
        <f t="shared" si="74"/>
        <v>0.15286575154322099</v>
      </c>
      <c r="W49" s="15">
        <f t="shared" si="74"/>
        <v>0.17907952346206571</v>
      </c>
      <c r="X49" s="15">
        <f t="shared" si="74"/>
        <v>0.19323138300557186</v>
      </c>
      <c r="Y49" s="15">
        <f t="shared" si="74"/>
        <v>0.2033609598228581</v>
      </c>
      <c r="Z49" s="15">
        <f t="shared" si="74"/>
        <v>0.21348809179453521</v>
      </c>
      <c r="AA49" s="15">
        <f t="shared" si="74"/>
        <v>0.22361282504976565</v>
      </c>
      <c r="AB49" s="15">
        <f t="shared" si="74"/>
        <v>0.23373520484735014</v>
      </c>
    </row>
    <row r="50" spans="2:28" x14ac:dyDescent="0.2">
      <c r="B50" s="1" t="s">
        <v>42</v>
      </c>
      <c r="C50" s="9"/>
      <c r="D50" s="9"/>
      <c r="E50" s="9">
        <f>+E33/E20</f>
        <v>9.4595699452211676E-2</v>
      </c>
      <c r="F50" s="9"/>
      <c r="G50" s="9">
        <f t="shared" ref="G50" si="75">+G33/G20</f>
        <v>6.5348863254563946E-2</v>
      </c>
      <c r="H50" s="9">
        <f>+H33/H20</f>
        <v>8.5589678357259766E-2</v>
      </c>
      <c r="I50" s="9">
        <f t="shared" ref="I50" si="76">+I33/I20</f>
        <v>0.1020691746039767</v>
      </c>
      <c r="J50" s="9"/>
      <c r="K50" s="9">
        <f>+K33/K20</f>
        <v>0.1098376822409978</v>
      </c>
      <c r="L50" s="9">
        <f>+L33/L20</f>
        <v>0.12316222590195196</v>
      </c>
      <c r="P50" s="9">
        <f t="shared" ref="P50:R50" si="77">+P33/P20</f>
        <v>0.10229829571022984</v>
      </c>
      <c r="Q50" s="9">
        <f t="shared" si="77"/>
        <v>0.1134851138353765</v>
      </c>
      <c r="R50" s="9">
        <f t="shared" si="77"/>
        <v>8.205119506030438E-2</v>
      </c>
      <c r="S50" s="9">
        <f t="shared" ref="S50:AB50" si="78">+S33/S20</f>
        <v>8.8737228169102553E-2</v>
      </c>
      <c r="T50" s="9">
        <f t="shared" si="78"/>
        <v>7.6946390560904507E-2</v>
      </c>
      <c r="U50" s="9">
        <f t="shared" si="78"/>
        <v>8.9574548635135268E-2</v>
      </c>
      <c r="V50" s="9">
        <f t="shared" si="78"/>
        <v>0.12224478243424093</v>
      </c>
      <c r="W50" s="9">
        <f t="shared" si="78"/>
        <v>0.14272711728190701</v>
      </c>
      <c r="X50" s="9">
        <f t="shared" si="78"/>
        <v>0.15370748814344123</v>
      </c>
      <c r="Y50" s="9">
        <f t="shared" si="78"/>
        <v>0.16153424393477292</v>
      </c>
      <c r="Z50" s="9">
        <f t="shared" si="78"/>
        <v>0.17367037730621263</v>
      </c>
      <c r="AA50" s="9">
        <f t="shared" si="78"/>
        <v>0.18646814850804599</v>
      </c>
      <c r="AB50" s="9">
        <f t="shared" si="78"/>
        <v>0.19938313888923348</v>
      </c>
    </row>
    <row r="52" spans="2:28" x14ac:dyDescent="0.2">
      <c r="B52" s="1" t="s">
        <v>31</v>
      </c>
      <c r="C52" s="3"/>
      <c r="D52" s="3"/>
      <c r="E52" s="3"/>
      <c r="F52" s="3"/>
      <c r="G52" s="3">
        <v>238.1</v>
      </c>
      <c r="H52" s="3">
        <f>572.8-G52</f>
        <v>334.69999999999993</v>
      </c>
      <c r="I52" s="3">
        <f>982.2-H52-G52</f>
        <v>409.40000000000009</v>
      </c>
      <c r="J52" s="3">
        <f>+U52-I52-H52-G52</f>
        <v>410.79999999999995</v>
      </c>
      <c r="K52" s="3">
        <v>416.6</v>
      </c>
      <c r="L52" s="3">
        <f>911.6-K52</f>
        <v>495</v>
      </c>
      <c r="P52" s="3">
        <f t="shared" ref="P52:Q52" si="79">+P31</f>
        <v>1265.9000000000001</v>
      </c>
      <c r="Q52" s="3">
        <f t="shared" si="79"/>
        <v>1442.8999999999996</v>
      </c>
      <c r="R52" s="3">
        <f>+R31</f>
        <v>984.80000000000075</v>
      </c>
      <c r="S52" s="3">
        <v>1144</v>
      </c>
      <c r="T52" s="3">
        <v>1108.9000000000001</v>
      </c>
      <c r="U52" s="3">
        <v>1393</v>
      </c>
    </row>
    <row r="53" spans="2:28" x14ac:dyDescent="0.2">
      <c r="B53" s="1" t="s">
        <v>43</v>
      </c>
      <c r="C53" s="3"/>
      <c r="D53" s="3"/>
      <c r="E53" s="3"/>
      <c r="F53" s="3"/>
      <c r="G53" s="3">
        <f>158.7+75.6</f>
        <v>234.29999999999998</v>
      </c>
      <c r="H53" s="3">
        <f>311.3+152.4-G53</f>
        <v>229.40000000000006</v>
      </c>
      <c r="I53" s="3">
        <f>463.3+229.8-G53-H53</f>
        <v>229.4</v>
      </c>
      <c r="J53" s="3">
        <f t="shared" ref="J53:J61" si="80">+U53-I53-H53-G53</f>
        <v>230.49999999999997</v>
      </c>
      <c r="K53" s="3">
        <f>157+77.8</f>
        <v>234.8</v>
      </c>
      <c r="L53" s="3">
        <f>316.9+152.9-K53</f>
        <v>234.99999999999994</v>
      </c>
      <c r="P53" s="3">
        <f>535.9+194.5</f>
        <v>730.4</v>
      </c>
      <c r="Q53" s="3">
        <f>569.1+206.2</f>
        <v>775.3</v>
      </c>
      <c r="R53" s="3">
        <f>594.3+218.4</f>
        <v>812.69999999999993</v>
      </c>
      <c r="S53" s="3">
        <f>604.4+238.7</f>
        <v>843.09999999999991</v>
      </c>
      <c r="T53" s="3">
        <f>618.5+320.2</f>
        <v>938.7</v>
      </c>
      <c r="U53" s="3">
        <f>616.7+306.9</f>
        <v>923.6</v>
      </c>
    </row>
    <row r="54" spans="2:28" x14ac:dyDescent="0.2">
      <c r="B54" s="1" t="s">
        <v>44</v>
      </c>
      <c r="C54" s="3"/>
      <c r="D54" s="3"/>
      <c r="E54" s="3"/>
      <c r="F54" s="3"/>
      <c r="G54" s="3">
        <v>-18</v>
      </c>
      <c r="H54" s="3">
        <f>-36.8-G54</f>
        <v>-18.799999999999997</v>
      </c>
      <c r="I54" s="3">
        <f>-45.9-G54-H54</f>
        <v>-9.1000000000000014</v>
      </c>
      <c r="J54" s="3">
        <f t="shared" si="80"/>
        <v>-9.8000000000000043</v>
      </c>
      <c r="K54" s="3">
        <v>-74.400000000000006</v>
      </c>
      <c r="L54" s="3">
        <f>-137.7-K54</f>
        <v>-63.299999999999983</v>
      </c>
      <c r="P54" s="3">
        <v>122.6</v>
      </c>
      <c r="Q54" s="3">
        <v>-22.1</v>
      </c>
      <c r="R54" s="3">
        <v>-45.8</v>
      </c>
      <c r="S54" s="3">
        <v>-1.1000000000000001</v>
      </c>
      <c r="T54" s="3">
        <v>-142.6</v>
      </c>
      <c r="U54" s="3">
        <v>-55.7</v>
      </c>
    </row>
    <row r="55" spans="2:28" x14ac:dyDescent="0.2">
      <c r="B55" s="1" t="s">
        <v>45</v>
      </c>
      <c r="C55" s="3"/>
      <c r="D55" s="3"/>
      <c r="E55" s="3"/>
      <c r="F55" s="3"/>
      <c r="G55" s="3">
        <v>31.4</v>
      </c>
      <c r="H55" s="3">
        <f>58.7-G55</f>
        <v>27.300000000000004</v>
      </c>
      <c r="I55" s="3">
        <f>73.4-G55-H55</f>
        <v>14.700000000000003</v>
      </c>
      <c r="J55" s="3">
        <f t="shared" si="80"/>
        <v>21.699999999999989</v>
      </c>
      <c r="K55" s="3">
        <v>47</v>
      </c>
      <c r="L55" s="3">
        <f>82.9-K55</f>
        <v>35.900000000000006</v>
      </c>
      <c r="P55" s="3">
        <v>88</v>
      </c>
      <c r="Q55" s="3">
        <v>84</v>
      </c>
      <c r="R55" s="3">
        <v>82.1</v>
      </c>
      <c r="S55" s="3">
        <v>89.5</v>
      </c>
      <c r="T55" s="3">
        <v>87.8</v>
      </c>
      <c r="U55" s="3">
        <v>95.1</v>
      </c>
    </row>
    <row r="56" spans="2:28" x14ac:dyDescent="0.2">
      <c r="B56" s="1" t="s">
        <v>46</v>
      </c>
      <c r="C56" s="3"/>
      <c r="D56" s="3"/>
      <c r="E56" s="3"/>
      <c r="F56" s="3"/>
      <c r="G56" s="3">
        <v>-14.6</v>
      </c>
      <c r="H56" s="3">
        <f>-29-G56</f>
        <v>-14.4</v>
      </c>
      <c r="I56" s="3">
        <f>-92.2-G56-H56</f>
        <v>-63.20000000000001</v>
      </c>
      <c r="J56" s="3">
        <f t="shared" si="80"/>
        <v>-17.099999999999987</v>
      </c>
      <c r="K56" s="3">
        <v>-15.3</v>
      </c>
      <c r="L56" s="3">
        <f>-30.8-K56</f>
        <v>-15.5</v>
      </c>
      <c r="P56" s="3">
        <v>-60</v>
      </c>
      <c r="Q56" s="3">
        <v>-186</v>
      </c>
      <c r="R56" s="3">
        <v>-70.7</v>
      </c>
      <c r="S56" s="3">
        <v>-60.2</v>
      </c>
      <c r="T56" s="3">
        <v>-64.3</v>
      </c>
      <c r="U56" s="3">
        <v>-109.3</v>
      </c>
    </row>
    <row r="57" spans="2:28" x14ac:dyDescent="0.2">
      <c r="B57" s="1" t="s">
        <v>47</v>
      </c>
      <c r="C57" s="3"/>
      <c r="D57" s="3"/>
      <c r="E57" s="3"/>
      <c r="F57" s="3"/>
      <c r="G57" s="3">
        <v>2.6</v>
      </c>
      <c r="H57" s="3">
        <f>4.3-G57</f>
        <v>1.6999999999999997</v>
      </c>
      <c r="I57" s="3">
        <f>6-H57-G57</f>
        <v>1.7000000000000006</v>
      </c>
      <c r="J57" s="3">
        <f t="shared" si="80"/>
        <v>-2.9000000000000004</v>
      </c>
      <c r="K57" s="3">
        <v>4</v>
      </c>
      <c r="L57" s="3">
        <f>8-K57</f>
        <v>4</v>
      </c>
      <c r="P57" s="3">
        <v>25.7</v>
      </c>
      <c r="Q57" s="3">
        <v>22.6</v>
      </c>
      <c r="R57" s="3">
        <v>42</v>
      </c>
      <c r="S57" s="3">
        <v>42.4</v>
      </c>
      <c r="T57" s="3">
        <v>45.5</v>
      </c>
      <c r="U57" s="3">
        <v>3.1</v>
      </c>
    </row>
    <row r="58" spans="2:28" x14ac:dyDescent="0.2">
      <c r="B58" s="1" t="s">
        <v>48</v>
      </c>
      <c r="C58" s="3"/>
      <c r="D58" s="3"/>
      <c r="E58" s="3"/>
      <c r="F58" s="3"/>
      <c r="G58" s="3">
        <v>-27.3</v>
      </c>
      <c r="H58" s="3">
        <f>-26.3-G58</f>
        <v>1</v>
      </c>
      <c r="I58" s="3">
        <f>-17.5-H58-G58</f>
        <v>8.8000000000000007</v>
      </c>
      <c r="J58" s="3">
        <f t="shared" si="80"/>
        <v>-15.100000000000005</v>
      </c>
      <c r="K58" s="3">
        <v>0.2</v>
      </c>
      <c r="L58" s="3">
        <f>-9.9-K58</f>
        <v>-10.1</v>
      </c>
      <c r="P58" s="3">
        <v>40.200000000000003</v>
      </c>
      <c r="Q58" s="3">
        <v>29.9</v>
      </c>
      <c r="R58" s="3">
        <v>7.8</v>
      </c>
      <c r="S58" s="3">
        <v>-41.7</v>
      </c>
      <c r="T58" s="3">
        <v>66.2</v>
      </c>
      <c r="U58" s="3">
        <v>-32.6</v>
      </c>
    </row>
    <row r="59" spans="2:28" x14ac:dyDescent="0.2">
      <c r="B59" s="1" t="s">
        <v>100</v>
      </c>
      <c r="C59" s="3"/>
      <c r="D59" s="3"/>
      <c r="E59" s="3"/>
      <c r="F59" s="3"/>
      <c r="G59" s="3"/>
      <c r="H59" s="3"/>
      <c r="I59" s="3"/>
      <c r="J59" s="3">
        <f t="shared" si="80"/>
        <v>0</v>
      </c>
      <c r="K59" s="3"/>
      <c r="L59" s="3"/>
      <c r="P59" s="3"/>
      <c r="Q59" s="3"/>
      <c r="R59" s="3">
        <v>77.099999999999994</v>
      </c>
      <c r="S59" s="3">
        <v>29.4</v>
      </c>
      <c r="T59" s="3"/>
      <c r="U59" s="3"/>
    </row>
    <row r="60" spans="2:28" x14ac:dyDescent="0.2">
      <c r="B60" s="1" t="s">
        <v>49</v>
      </c>
      <c r="C60" s="3"/>
      <c r="D60" s="3"/>
      <c r="E60" s="3"/>
      <c r="F60" s="3"/>
      <c r="G60" s="3">
        <v>2.2999999999999998</v>
      </c>
      <c r="H60" s="3">
        <f>13.2-G60</f>
        <v>10.899999999999999</v>
      </c>
      <c r="I60" s="3">
        <f>21.1-H60-G60</f>
        <v>7.900000000000003</v>
      </c>
      <c r="J60" s="3">
        <f t="shared" si="80"/>
        <v>10.799999999999997</v>
      </c>
      <c r="K60" s="3">
        <v>1.5</v>
      </c>
      <c r="L60" s="3">
        <f>13.6-K60</f>
        <v>12.1</v>
      </c>
      <c r="P60" s="3">
        <v>19.100000000000001</v>
      </c>
      <c r="Q60" s="3">
        <v>17.600000000000001</v>
      </c>
      <c r="R60" s="3">
        <v>61</v>
      </c>
      <c r="S60" s="3">
        <v>15.9</v>
      </c>
      <c r="T60" s="3">
        <v>24.9</v>
      </c>
      <c r="U60" s="3">
        <v>31.9</v>
      </c>
    </row>
    <row r="61" spans="2:28" x14ac:dyDescent="0.2">
      <c r="B61" s="1" t="s">
        <v>50</v>
      </c>
      <c r="C61" s="3"/>
      <c r="D61" s="3"/>
      <c r="E61" s="3"/>
      <c r="F61" s="3"/>
      <c r="G61" s="3">
        <f>41+70.6+3.5-268.5-97.2</f>
        <v>-250.60000000000002</v>
      </c>
      <c r="H61" s="3">
        <f>-52.8+150.9+19.2-264.7-101.6-G61</f>
        <v>1.6000000000000512</v>
      </c>
      <c r="I61" s="3">
        <f>-88.9+266.4-25.2-245.7-17.9-H61-G61</f>
        <v>137.69999999999996</v>
      </c>
      <c r="J61" s="3">
        <f t="shared" si="80"/>
        <v>274</v>
      </c>
      <c r="K61" s="3">
        <f>49-65.5+21.3+82.7-52.5</f>
        <v>35</v>
      </c>
      <c r="L61" s="3">
        <f>-110.1-92.3-9.1+210.1-45.6-K61</f>
        <v>-81.999999999999972</v>
      </c>
      <c r="P61" s="3">
        <f>-132.5-100.5-76.8+99.8-15</f>
        <v>-225</v>
      </c>
      <c r="Q61" s="3">
        <f>-173.1+22.3-70.4+22.9+80.8</f>
        <v>-117.49999999999999</v>
      </c>
      <c r="R61" s="3">
        <f>155.6-179.5+42.3+55.9-283.5</f>
        <v>-209.20000000000002</v>
      </c>
      <c r="S61" s="3">
        <f>-178.2-73-92.9+200.4+144.3</f>
        <v>0.59999999999999432</v>
      </c>
      <c r="T61" s="3">
        <f>-319.6-402.9-278.2+394.7+329.3</f>
        <v>-276.7</v>
      </c>
      <c r="U61" s="3">
        <f>-84.3+320.3+72.2-232.3+86.8</f>
        <v>162.69999999999999</v>
      </c>
    </row>
    <row r="62" spans="2:28" x14ac:dyDescent="0.2">
      <c r="B62" s="1" t="s">
        <v>51</v>
      </c>
      <c r="C62" s="3">
        <f t="shared" ref="C62:K62" si="81">+SUM(C52:C61)</f>
        <v>0</v>
      </c>
      <c r="D62" s="3">
        <f t="shared" si="81"/>
        <v>0</v>
      </c>
      <c r="E62" s="3">
        <f t="shared" si="81"/>
        <v>0</v>
      </c>
      <c r="F62" s="3">
        <f t="shared" si="81"/>
        <v>0</v>
      </c>
      <c r="G62" s="3">
        <f t="shared" si="81"/>
        <v>198.19999999999993</v>
      </c>
      <c r="H62" s="3">
        <f t="shared" si="81"/>
        <v>573.40000000000009</v>
      </c>
      <c r="I62" s="3">
        <f t="shared" si="81"/>
        <v>737.3</v>
      </c>
      <c r="J62" s="3">
        <f t="shared" si="81"/>
        <v>902.9</v>
      </c>
      <c r="K62" s="3">
        <f t="shared" si="81"/>
        <v>649.4000000000002</v>
      </c>
      <c r="L62" s="3">
        <f>+SUM(L52:L61)</f>
        <v>611.1</v>
      </c>
      <c r="P62" s="3">
        <f t="shared" ref="P62" si="82">+SUM(P52:P61)</f>
        <v>2006.8999999999996</v>
      </c>
      <c r="Q62" s="3">
        <f t="shared" ref="Q62" si="83">+SUM(Q52:Q61)</f>
        <v>2046.6999999999998</v>
      </c>
      <c r="R62" s="3">
        <f t="shared" ref="R62" si="84">+SUM(R52:R61)</f>
        <v>1741.8000000000004</v>
      </c>
      <c r="S62" s="3">
        <f t="shared" ref="S62:U62" si="85">+SUM(S52:S61)</f>
        <v>2061.8999999999996</v>
      </c>
      <c r="T62" s="3">
        <f t="shared" si="85"/>
        <v>1788.4000000000003</v>
      </c>
      <c r="U62" s="3">
        <f t="shared" si="85"/>
        <v>2411.7999999999997</v>
      </c>
    </row>
    <row r="63" spans="2:28" x14ac:dyDescent="0.2">
      <c r="C63" s="3"/>
      <c r="D63" s="3"/>
      <c r="E63" s="3"/>
      <c r="F63" s="3"/>
      <c r="G63" s="3"/>
      <c r="H63" s="3"/>
      <c r="I63" s="3"/>
      <c r="J63" s="3"/>
      <c r="K63" s="3"/>
      <c r="L63" s="3"/>
      <c r="P63" s="3"/>
      <c r="Q63" s="3"/>
      <c r="R63" s="3"/>
      <c r="S63" s="3"/>
      <c r="T63" s="3"/>
      <c r="U63" s="3"/>
    </row>
    <row r="64" spans="2:28" x14ac:dyDescent="0.2">
      <c r="B64" s="1" t="s">
        <v>52</v>
      </c>
      <c r="C64" s="3"/>
      <c r="D64" s="3"/>
      <c r="E64" s="3"/>
      <c r="F64" s="3"/>
      <c r="G64" s="3">
        <v>-173.7</v>
      </c>
      <c r="H64" s="3">
        <f>-345.7-G64</f>
        <v>-172</v>
      </c>
      <c r="I64" s="3">
        <f>-512.2-H64-G64</f>
        <v>-166.50000000000006</v>
      </c>
      <c r="J64" s="3">
        <f t="shared" ref="J64:J68" si="86">+U64-I64-H64-G64</f>
        <v>-262.59999999999997</v>
      </c>
      <c r="K64" s="3">
        <v>-201.5</v>
      </c>
      <c r="L64" s="3">
        <f>-398.4-K64</f>
        <v>-196.89999999999998</v>
      </c>
      <c r="P64" s="3">
        <v>-778.8</v>
      </c>
      <c r="Q64" s="3">
        <v>-731.3</v>
      </c>
      <c r="R64" s="3">
        <v>-489</v>
      </c>
      <c r="S64" s="3">
        <v>-643</v>
      </c>
      <c r="T64" s="3">
        <v>-712.8</v>
      </c>
      <c r="U64" s="3">
        <v>-774.8</v>
      </c>
    </row>
    <row r="65" spans="2:21" x14ac:dyDescent="0.2">
      <c r="B65" s="1" t="s">
        <v>53</v>
      </c>
      <c r="C65" s="3"/>
      <c r="D65" s="3"/>
      <c r="E65" s="3"/>
      <c r="F65" s="3"/>
      <c r="G65" s="3">
        <v>4.8</v>
      </c>
      <c r="H65" s="3">
        <f>8.6-G65</f>
        <v>3.8</v>
      </c>
      <c r="I65" s="3">
        <f>9.5-H65-G65</f>
        <v>0.90000000000000036</v>
      </c>
      <c r="J65" s="3">
        <f t="shared" si="86"/>
        <v>0.40000000000000036</v>
      </c>
      <c r="K65" s="3">
        <v>0.7</v>
      </c>
      <c r="L65" s="3">
        <f>3.5-K65</f>
        <v>2.8</v>
      </c>
      <c r="P65" s="3">
        <v>28</v>
      </c>
      <c r="Q65" s="3">
        <v>7.5</v>
      </c>
      <c r="R65" s="3">
        <v>5.3</v>
      </c>
      <c r="S65" s="3">
        <v>12.2</v>
      </c>
      <c r="T65" s="3">
        <v>2.2000000000000002</v>
      </c>
      <c r="U65" s="3">
        <v>9.9</v>
      </c>
    </row>
    <row r="66" spans="2:21" x14ac:dyDescent="0.2">
      <c r="B66" s="5" t="s">
        <v>54</v>
      </c>
      <c r="C66" s="6"/>
      <c r="D66" s="6"/>
      <c r="E66" s="6"/>
      <c r="F66" s="6"/>
      <c r="G66" s="6"/>
      <c r="H66" s="6">
        <f>-105-G66</f>
        <v>-105</v>
      </c>
      <c r="I66" s="6">
        <f>-106.8-H66-G66</f>
        <v>-1.7999999999999972</v>
      </c>
      <c r="J66" s="3">
        <f t="shared" si="86"/>
        <v>-73.600000000000023</v>
      </c>
      <c r="K66" s="6"/>
      <c r="L66" s="6">
        <f>-38.7-K66</f>
        <v>-38.700000000000003</v>
      </c>
      <c r="P66" s="12">
        <v>-229.8</v>
      </c>
      <c r="Q66" s="12">
        <v>-391.4</v>
      </c>
      <c r="R66" s="12">
        <v>-487</v>
      </c>
      <c r="S66" s="12">
        <v>-3923.7</v>
      </c>
      <c r="T66" s="12">
        <v>-7.2</v>
      </c>
      <c r="U66" s="12">
        <v>-180.4</v>
      </c>
    </row>
    <row r="67" spans="2:21" x14ac:dyDescent="0.2">
      <c r="B67" s="1" t="s">
        <v>106</v>
      </c>
      <c r="C67" s="3"/>
      <c r="D67" s="3"/>
      <c r="E67" s="3"/>
      <c r="F67" s="3"/>
      <c r="G67" s="3"/>
      <c r="H67" s="3"/>
      <c r="I67" s="3"/>
      <c r="J67" s="3">
        <f t="shared" si="86"/>
        <v>0</v>
      </c>
      <c r="K67" s="3"/>
      <c r="L67" s="3"/>
      <c r="P67" s="3">
        <v>9.1999999999999993</v>
      </c>
      <c r="Q67" s="3">
        <v>6.8</v>
      </c>
      <c r="R67" s="3">
        <v>116.2</v>
      </c>
      <c r="S67" s="3"/>
      <c r="T67" s="3"/>
      <c r="U67" s="3"/>
    </row>
    <row r="68" spans="2:21" x14ac:dyDescent="0.2">
      <c r="B68" s="1" t="s">
        <v>49</v>
      </c>
      <c r="C68" s="3"/>
      <c r="D68" s="3"/>
      <c r="E68" s="3"/>
      <c r="F68" s="3"/>
      <c r="G68" s="3">
        <v>-20.5</v>
      </c>
      <c r="H68" s="3">
        <f>-21.4-G68</f>
        <v>-0.89999999999999858</v>
      </c>
      <c r="I68" s="3">
        <f>-32.6-H68-G68</f>
        <v>-11.200000000000003</v>
      </c>
      <c r="J68" s="3">
        <f t="shared" si="86"/>
        <v>-12.600000000000001</v>
      </c>
      <c r="K68" s="3">
        <v>-0.2</v>
      </c>
      <c r="L68" s="3">
        <f>-11.8-K68</f>
        <v>-11.600000000000001</v>
      </c>
      <c r="P68" s="3">
        <v>9.4</v>
      </c>
      <c r="Q68" s="3">
        <v>-21.2</v>
      </c>
      <c r="R68" s="3">
        <v>-3.2</v>
      </c>
      <c r="S68" s="3">
        <v>-25.2</v>
      </c>
      <c r="T68" s="3">
        <v>1</v>
      </c>
      <c r="U68" s="3">
        <v>-45.2</v>
      </c>
    </row>
    <row r="69" spans="2:21" x14ac:dyDescent="0.2">
      <c r="B69" s="1" t="s">
        <v>55</v>
      </c>
      <c r="C69" s="3">
        <f t="shared" ref="C69:K69" si="87">+SUM(C64:C68)</f>
        <v>0</v>
      </c>
      <c r="D69" s="3">
        <f t="shared" si="87"/>
        <v>0</v>
      </c>
      <c r="E69" s="3">
        <f t="shared" si="87"/>
        <v>0</v>
      </c>
      <c r="F69" s="3">
        <f t="shared" si="87"/>
        <v>0</v>
      </c>
      <c r="G69" s="3">
        <f t="shared" si="87"/>
        <v>-189.39999999999998</v>
      </c>
      <c r="H69" s="3">
        <f t="shared" si="87"/>
        <v>-274.09999999999997</v>
      </c>
      <c r="I69" s="3">
        <f t="shared" si="87"/>
        <v>-178.60000000000002</v>
      </c>
      <c r="J69" s="3">
        <f t="shared" si="87"/>
        <v>-348.40000000000003</v>
      </c>
      <c r="K69" s="3">
        <f t="shared" si="87"/>
        <v>-201</v>
      </c>
      <c r="L69" s="3">
        <f>+SUM(L64:L68)</f>
        <v>-244.39999999999995</v>
      </c>
      <c r="P69" s="3">
        <f t="shared" ref="P69" si="88">+SUM(P64:P68)</f>
        <v>-961.99999999999989</v>
      </c>
      <c r="Q69" s="3">
        <f t="shared" ref="Q69" si="89">+SUM(Q64:Q68)</f>
        <v>-1129.5999999999999</v>
      </c>
      <c r="R69" s="3">
        <f t="shared" ref="R69" si="90">+SUM(R64:R68)</f>
        <v>-857.7</v>
      </c>
      <c r="S69" s="3">
        <f t="shared" ref="S69:T69" si="91">+SUM(S64:S68)</f>
        <v>-4579.7</v>
      </c>
      <c r="T69" s="3">
        <f t="shared" si="91"/>
        <v>-716.8</v>
      </c>
      <c r="U69" s="3">
        <f>+SUM(U64:U68)</f>
        <v>-990.5</v>
      </c>
    </row>
    <row r="70" spans="2:21" x14ac:dyDescent="0.2">
      <c r="C70" s="3"/>
      <c r="D70" s="3"/>
      <c r="E70" s="3"/>
      <c r="F70" s="3"/>
      <c r="G70" s="3"/>
      <c r="H70" s="3"/>
      <c r="I70" s="3"/>
      <c r="J70" s="3"/>
      <c r="K70" s="3"/>
      <c r="L70" s="3"/>
      <c r="P70" s="3"/>
      <c r="Q70" s="3"/>
      <c r="R70" s="3"/>
      <c r="S70" s="3"/>
      <c r="T70" s="3"/>
      <c r="U70" s="3"/>
    </row>
    <row r="71" spans="2:21" x14ac:dyDescent="0.2">
      <c r="B71" s="1" t="s">
        <v>56</v>
      </c>
      <c r="C71" s="3"/>
      <c r="D71" s="3"/>
      <c r="E71" s="3"/>
      <c r="F71" s="3"/>
      <c r="G71" s="3">
        <v>5.5</v>
      </c>
      <c r="H71" s="3">
        <f>1.7-G71</f>
        <v>-3.8</v>
      </c>
      <c r="I71" s="3">
        <f>-0.3-H71-G71</f>
        <v>-2</v>
      </c>
      <c r="J71" s="3">
        <f t="shared" ref="J71:J79" si="92">+U71-I71-H71-G71</f>
        <v>-1.6</v>
      </c>
      <c r="K71" s="3">
        <v>7.2</v>
      </c>
      <c r="L71" s="3">
        <f>1.7-K71</f>
        <v>-5.5</v>
      </c>
      <c r="P71" s="3">
        <v>341.8</v>
      </c>
      <c r="Q71" s="3">
        <v>-252</v>
      </c>
      <c r="R71" s="3">
        <v>-65.5</v>
      </c>
      <c r="S71" s="3">
        <v>393.6</v>
      </c>
      <c r="T71" s="3">
        <v>-404.3</v>
      </c>
      <c r="U71" s="3">
        <v>-1.9</v>
      </c>
    </row>
    <row r="72" spans="2:21" x14ac:dyDescent="0.2">
      <c r="B72" s="1" t="s">
        <v>101</v>
      </c>
      <c r="C72" s="3"/>
      <c r="D72" s="3"/>
      <c r="E72" s="3"/>
      <c r="F72" s="3"/>
      <c r="G72" s="3"/>
      <c r="H72" s="3"/>
      <c r="I72" s="3"/>
      <c r="J72" s="3">
        <f t="shared" si="92"/>
        <v>0</v>
      </c>
      <c r="K72" s="3"/>
      <c r="L72" s="3"/>
      <c r="P72" s="3"/>
      <c r="Q72" s="3"/>
      <c r="R72" s="3">
        <v>1855.9</v>
      </c>
      <c r="S72" s="3">
        <v>2775</v>
      </c>
      <c r="T72" s="3">
        <v>494</v>
      </c>
      <c r="U72" s="3"/>
    </row>
    <row r="73" spans="2:21" x14ac:dyDescent="0.2">
      <c r="B73" s="1" t="s">
        <v>57</v>
      </c>
      <c r="C73" s="3"/>
      <c r="D73" s="3"/>
      <c r="E73" s="3"/>
      <c r="F73" s="3"/>
      <c r="G73" s="3"/>
      <c r="H73" s="3">
        <f>0-G73</f>
        <v>0</v>
      </c>
      <c r="I73" s="3"/>
      <c r="J73" s="3">
        <f t="shared" si="92"/>
        <v>-500</v>
      </c>
      <c r="K73" s="3">
        <v>-629.6</v>
      </c>
      <c r="L73" s="3">
        <f>-629.6-K73</f>
        <v>0</v>
      </c>
      <c r="P73" s="3">
        <v>-551.6</v>
      </c>
      <c r="Q73" s="3">
        <v>-400.6</v>
      </c>
      <c r="R73" s="3">
        <v>-1570</v>
      </c>
      <c r="S73" s="3">
        <v>-1017.9</v>
      </c>
      <c r="T73" s="3"/>
      <c r="U73" s="3">
        <v>-500</v>
      </c>
    </row>
    <row r="74" spans="2:21" x14ac:dyDescent="0.2">
      <c r="B74" s="1" t="s">
        <v>58</v>
      </c>
      <c r="C74" s="3"/>
      <c r="D74" s="3"/>
      <c r="E74" s="3"/>
      <c r="F74" s="3"/>
      <c r="G74" s="3">
        <v>-10.6</v>
      </c>
      <c r="H74" s="3">
        <f>-10.9-G74</f>
        <v>-0.30000000000000071</v>
      </c>
      <c r="I74" s="3">
        <f>-11.7-H74-G74</f>
        <v>-0.79999999999999893</v>
      </c>
      <c r="J74" s="3">
        <f t="shared" si="92"/>
        <v>-2</v>
      </c>
      <c r="K74" s="3">
        <v>-196.4</v>
      </c>
      <c r="L74" s="3">
        <f>-519.4-K74</f>
        <v>-323</v>
      </c>
      <c r="P74" s="3">
        <v>-562.4</v>
      </c>
      <c r="Q74" s="3">
        <v>-353.7</v>
      </c>
      <c r="R74" s="3">
        <v>-146.19999999999999</v>
      </c>
      <c r="S74" s="3">
        <v>-106.6</v>
      </c>
      <c r="T74" s="3">
        <v>-518.20000000000005</v>
      </c>
      <c r="U74" s="3">
        <v>-13.7</v>
      </c>
    </row>
    <row r="75" spans="2:21" x14ac:dyDescent="0.2">
      <c r="B75" s="1" t="s">
        <v>59</v>
      </c>
      <c r="C75" s="3"/>
      <c r="D75" s="3"/>
      <c r="E75" s="3"/>
      <c r="F75" s="3"/>
      <c r="G75" s="3">
        <v>-157.69999999999999</v>
      </c>
      <c r="H75" s="3">
        <f>-308.6-G75</f>
        <v>-150.90000000000003</v>
      </c>
      <c r="I75" s="3">
        <f>-462.6-H75-G75</f>
        <v>-154</v>
      </c>
      <c r="J75" s="3">
        <f t="shared" si="92"/>
        <v>-154.69999999999993</v>
      </c>
      <c r="K75" s="3">
        <v>-175.2</v>
      </c>
      <c r="L75" s="3">
        <f>-340.7-K75</f>
        <v>-165.5</v>
      </c>
      <c r="P75" s="3">
        <v>-494.8</v>
      </c>
      <c r="Q75" s="3">
        <v>-552.9</v>
      </c>
      <c r="R75" s="3">
        <v>-560.79999999999995</v>
      </c>
      <c r="S75" s="3">
        <v>-566.4</v>
      </c>
      <c r="T75" s="3">
        <v>-602.79999999999995</v>
      </c>
      <c r="U75" s="3">
        <v>-617.29999999999995</v>
      </c>
    </row>
    <row r="76" spans="2:21" x14ac:dyDescent="0.2">
      <c r="B76" s="1" t="s">
        <v>60</v>
      </c>
      <c r="C76" s="3"/>
      <c r="D76" s="3"/>
      <c r="E76" s="3"/>
      <c r="F76" s="3"/>
      <c r="G76" s="3">
        <v>15.5</v>
      </c>
      <c r="H76" s="3">
        <f>50.6-G76</f>
        <v>35.1</v>
      </c>
      <c r="I76" s="3">
        <f>61.2-H76-G76</f>
        <v>10.600000000000001</v>
      </c>
      <c r="J76" s="3">
        <f t="shared" si="92"/>
        <v>35.599999999999987</v>
      </c>
      <c r="K76" s="3">
        <v>105.5</v>
      </c>
      <c r="L76" s="3">
        <f>154.4-K76</f>
        <v>48.900000000000006</v>
      </c>
      <c r="P76" s="3">
        <v>114.5</v>
      </c>
      <c r="Q76" s="3">
        <v>186.8</v>
      </c>
      <c r="R76" s="3">
        <v>241.5</v>
      </c>
      <c r="S76" s="3">
        <v>143.5</v>
      </c>
      <c r="T76" s="3">
        <v>29.1</v>
      </c>
      <c r="U76" s="3">
        <v>96.8</v>
      </c>
    </row>
    <row r="77" spans="2:21" x14ac:dyDescent="0.2">
      <c r="B77" s="1" t="s">
        <v>100</v>
      </c>
      <c r="C77" s="3"/>
      <c r="D77" s="3"/>
      <c r="E77" s="3"/>
      <c r="F77" s="3"/>
      <c r="G77" s="3"/>
      <c r="H77" s="3"/>
      <c r="I77" s="3"/>
      <c r="J77" s="3">
        <f t="shared" si="92"/>
        <v>0</v>
      </c>
      <c r="K77" s="3"/>
      <c r="L77" s="3"/>
      <c r="P77" s="3"/>
      <c r="Q77" s="3"/>
      <c r="R77" s="3">
        <v>-77.099999999999994</v>
      </c>
      <c r="S77" s="3">
        <v>-29.4</v>
      </c>
      <c r="T77" s="3"/>
      <c r="U77" s="3"/>
    </row>
    <row r="78" spans="2:21" x14ac:dyDescent="0.2">
      <c r="B78" s="1" t="s">
        <v>61</v>
      </c>
      <c r="C78" s="3"/>
      <c r="D78" s="3"/>
      <c r="E78" s="3"/>
      <c r="F78" s="3"/>
      <c r="G78" s="3">
        <v>-18.399999999999999</v>
      </c>
      <c r="H78" s="3">
        <f>-53.5-G78</f>
        <v>-35.1</v>
      </c>
      <c r="I78" s="3">
        <f>-53.4-H78-G78</f>
        <v>0.10000000000000142</v>
      </c>
      <c r="J78" s="3">
        <f t="shared" si="92"/>
        <v>38.099999999999994</v>
      </c>
      <c r="K78" s="3"/>
      <c r="L78" s="3">
        <f>-0.6-K78</f>
        <v>-0.6</v>
      </c>
      <c r="P78" s="3"/>
      <c r="Q78" s="3"/>
      <c r="R78" s="3"/>
      <c r="S78" s="3">
        <v>25.9</v>
      </c>
      <c r="T78" s="3">
        <v>172</v>
      </c>
      <c r="U78" s="3">
        <v>-15.3</v>
      </c>
    </row>
    <row r="79" spans="2:21" x14ac:dyDescent="0.2">
      <c r="B79" s="1" t="s">
        <v>62</v>
      </c>
      <c r="C79" s="3"/>
      <c r="D79" s="3"/>
      <c r="E79" s="3"/>
      <c r="F79" s="3"/>
      <c r="G79" s="3">
        <v>-0.7</v>
      </c>
      <c r="H79" s="3">
        <f>-1.5-G79</f>
        <v>-0.8</v>
      </c>
      <c r="I79" s="3">
        <f>-2.4-H79-G79</f>
        <v>-0.89999999999999991</v>
      </c>
      <c r="J79" s="3">
        <f t="shared" si="92"/>
        <v>-0.89999999999999991</v>
      </c>
      <c r="K79" s="3">
        <v>-0.8</v>
      </c>
      <c r="L79" s="3">
        <f>-1.5-K79</f>
        <v>-0.7</v>
      </c>
      <c r="P79" s="3">
        <v>-18.899999999999999</v>
      </c>
      <c r="Q79" s="3">
        <v>25.8</v>
      </c>
      <c r="R79" s="3">
        <v>-18</v>
      </c>
      <c r="S79" s="3">
        <v>-14.5</v>
      </c>
      <c r="T79" s="3">
        <v>-7.1</v>
      </c>
      <c r="U79" s="3">
        <v>-3.3</v>
      </c>
    </row>
    <row r="80" spans="2:21" x14ac:dyDescent="0.2">
      <c r="B80" s="1" t="s">
        <v>63</v>
      </c>
      <c r="C80" s="3">
        <f t="shared" ref="C80:K80" si="93">+SUM(C71:C79)</f>
        <v>0</v>
      </c>
      <c r="D80" s="3">
        <f t="shared" si="93"/>
        <v>0</v>
      </c>
      <c r="E80" s="3">
        <f t="shared" si="93"/>
        <v>0</v>
      </c>
      <c r="F80" s="3">
        <f t="shared" si="93"/>
        <v>0</v>
      </c>
      <c r="G80" s="3">
        <f t="shared" si="93"/>
        <v>-166.39999999999998</v>
      </c>
      <c r="H80" s="3">
        <f t="shared" si="93"/>
        <v>-155.80000000000004</v>
      </c>
      <c r="I80" s="3">
        <f t="shared" si="93"/>
        <v>-147.00000000000003</v>
      </c>
      <c r="J80" s="3">
        <f t="shared" si="93"/>
        <v>-585.49999999999989</v>
      </c>
      <c r="K80" s="3">
        <f t="shared" si="93"/>
        <v>-889.3</v>
      </c>
      <c r="L80" s="3">
        <f>+SUM(L71:L79)</f>
        <v>-446.40000000000003</v>
      </c>
      <c r="P80" s="3">
        <f t="shared" ref="P80" si="94">+SUM(P71:P79)</f>
        <v>-1171.4000000000001</v>
      </c>
      <c r="Q80" s="3">
        <f t="shared" ref="Q80" si="95">+SUM(Q71:Q79)</f>
        <v>-1346.6</v>
      </c>
      <c r="R80" s="3">
        <f t="shared" ref="R80" si="96">+SUM(R71:R79)</f>
        <v>-340.19999999999982</v>
      </c>
      <c r="S80" s="3">
        <f t="shared" ref="S80:T80" si="97">+SUM(S71:S79)</f>
        <v>1603.1999999999998</v>
      </c>
      <c r="T80" s="3">
        <f t="shared" si="97"/>
        <v>-837.3</v>
      </c>
      <c r="U80" s="3">
        <f>+SUM(U71:U79)</f>
        <v>-1054.7</v>
      </c>
    </row>
    <row r="81" spans="2:28" x14ac:dyDescent="0.2">
      <c r="B81" s="1" t="s">
        <v>64</v>
      </c>
      <c r="C81" s="3"/>
      <c r="D81" s="3"/>
      <c r="E81" s="3"/>
      <c r="F81" s="3"/>
      <c r="G81" s="3">
        <v>-21.6</v>
      </c>
      <c r="H81" s="3">
        <f>-30.3-G81</f>
        <v>-8.6999999999999993</v>
      </c>
      <c r="I81" s="3">
        <f>-45.3-H81-G81</f>
        <v>-14.999999999999993</v>
      </c>
      <c r="J81" s="3">
        <f>+U81-I81-H81-G81</f>
        <v>-0.40000000000000924</v>
      </c>
      <c r="K81" s="3">
        <v>1.3</v>
      </c>
      <c r="L81" s="3">
        <f>-8.9-K81</f>
        <v>-10.200000000000001</v>
      </c>
      <c r="P81" s="3">
        <v>7.6</v>
      </c>
      <c r="Q81" s="3">
        <v>20.399999999999999</v>
      </c>
      <c r="R81" s="3">
        <v>-30.1</v>
      </c>
      <c r="S81" s="3">
        <v>14.3</v>
      </c>
      <c r="T81" s="3">
        <v>4.4000000000000004</v>
      </c>
      <c r="U81" s="3">
        <v>-45.7</v>
      </c>
    </row>
    <row r="82" spans="2:28" x14ac:dyDescent="0.2">
      <c r="B82" s="1" t="s">
        <v>65</v>
      </c>
      <c r="C82" s="3">
        <f t="shared" ref="C82:K82" si="98">+C62+C69+C80+C81</f>
        <v>0</v>
      </c>
      <c r="D82" s="3">
        <f t="shared" si="98"/>
        <v>0</v>
      </c>
      <c r="E82" s="3">
        <f t="shared" si="98"/>
        <v>0</v>
      </c>
      <c r="F82" s="3">
        <f t="shared" si="98"/>
        <v>0</v>
      </c>
      <c r="G82" s="3">
        <f t="shared" si="98"/>
        <v>-179.20000000000002</v>
      </c>
      <c r="H82" s="3">
        <f t="shared" si="98"/>
        <v>134.8000000000001</v>
      </c>
      <c r="I82" s="3">
        <f t="shared" si="98"/>
        <v>396.69999999999993</v>
      </c>
      <c r="J82" s="3">
        <f t="shared" si="98"/>
        <v>-31.399999999999896</v>
      </c>
      <c r="K82" s="3">
        <f t="shared" si="98"/>
        <v>-439.59999999999974</v>
      </c>
      <c r="L82" s="3">
        <f>+L62+L69+L80+L81</f>
        <v>-89.899999999999991</v>
      </c>
      <c r="P82" s="3">
        <f t="shared" ref="P82" si="99">+P62+P69+P80+P81</f>
        <v>-118.90000000000046</v>
      </c>
      <c r="Q82" s="3">
        <f t="shared" ref="Q82" si="100">+Q62+Q69+Q80+Q81</f>
        <v>-409.1</v>
      </c>
      <c r="R82" s="3">
        <f t="shared" ref="R82" si="101">+R62+R69+R80+R81</f>
        <v>513.80000000000052</v>
      </c>
      <c r="S82" s="3">
        <f t="shared" ref="S82:U82" si="102">+S62+S69+S80+S81</f>
        <v>-900.30000000000041</v>
      </c>
      <c r="T82" s="3">
        <f t="shared" si="102"/>
        <v>238.70000000000041</v>
      </c>
      <c r="U82" s="3">
        <f t="shared" si="102"/>
        <v>320.89999999999969</v>
      </c>
    </row>
    <row r="83" spans="2:28" x14ac:dyDescent="0.2">
      <c r="C83" s="3"/>
      <c r="D83" s="3"/>
      <c r="E83" s="3"/>
      <c r="F83" s="3"/>
      <c r="G83" s="3"/>
      <c r="H83" s="3"/>
      <c r="I83" s="3"/>
      <c r="J83" s="3"/>
      <c r="K83" s="3"/>
      <c r="L83" s="3"/>
      <c r="S83" s="3"/>
      <c r="T83" s="3"/>
      <c r="U83" s="3"/>
    </row>
    <row r="84" spans="2:28" x14ac:dyDescent="0.2">
      <c r="B84" s="5" t="s">
        <v>66</v>
      </c>
      <c r="C84" s="6"/>
      <c r="D84" s="6"/>
      <c r="E84" s="6"/>
      <c r="F84" s="6"/>
      <c r="G84" s="6">
        <f t="shared" ref="G84" si="103">+G62+G64</f>
        <v>24.499999999999943</v>
      </c>
      <c r="H84" s="6">
        <f>+H62+H64</f>
        <v>401.40000000000009</v>
      </c>
      <c r="I84" s="6">
        <f t="shared" ref="I84:J84" si="104">+I62+I64</f>
        <v>570.79999999999995</v>
      </c>
      <c r="J84" s="6">
        <f t="shared" si="104"/>
        <v>640.29999999999995</v>
      </c>
      <c r="K84" s="6">
        <f t="shared" ref="K84" si="105">+K62+K64</f>
        <v>447.9000000000002</v>
      </c>
      <c r="L84" s="6">
        <f>+L62+L64</f>
        <v>414.20000000000005</v>
      </c>
      <c r="N84" s="3"/>
      <c r="O84" s="3"/>
      <c r="P84" s="6">
        <f t="shared" ref="P84:R84" si="106">+P62+P64</f>
        <v>1228.0999999999997</v>
      </c>
      <c r="Q84" s="6">
        <f t="shared" si="106"/>
        <v>1315.3999999999999</v>
      </c>
      <c r="R84" s="6">
        <f t="shared" si="106"/>
        <v>1252.8000000000004</v>
      </c>
      <c r="S84" s="6">
        <f t="shared" ref="S84:U84" si="107">+S62+S64</f>
        <v>1418.8999999999996</v>
      </c>
      <c r="T84" s="6">
        <f t="shared" si="107"/>
        <v>1075.6000000000004</v>
      </c>
      <c r="U84" s="6">
        <f t="shared" si="107"/>
        <v>1636.9999999999998</v>
      </c>
    </row>
    <row r="85" spans="2:28" x14ac:dyDescent="0.2">
      <c r="B85" s="5" t="s">
        <v>107</v>
      </c>
      <c r="C85" s="6"/>
      <c r="D85" s="6"/>
      <c r="E85" s="6"/>
      <c r="F85" s="6"/>
      <c r="G85" s="6"/>
      <c r="H85" s="6"/>
      <c r="I85" s="6"/>
      <c r="J85" s="6">
        <f>+SUM(G84:J84)</f>
        <v>1637</v>
      </c>
      <c r="K85" s="6">
        <f>+SUM(H84:K84)</f>
        <v>2060.4</v>
      </c>
      <c r="L85" s="6">
        <f>+SUM(I84:L84)</f>
        <v>2073.1999999999998</v>
      </c>
      <c r="N85" s="3"/>
      <c r="O85" s="3"/>
      <c r="P85" s="6"/>
      <c r="Q85" s="6"/>
      <c r="R85" s="6"/>
      <c r="S85" s="6"/>
      <c r="T85" s="6"/>
      <c r="U85" s="6"/>
    </row>
    <row r="86" spans="2:28" x14ac:dyDescent="0.2">
      <c r="B86" s="1" t="s">
        <v>89</v>
      </c>
      <c r="G86" s="9">
        <f t="shared" ref="G86" si="108">+G55/G84</f>
        <v>1.2816326530612274</v>
      </c>
      <c r="H86" s="9">
        <f>+H55/H84</f>
        <v>6.8011958146487292E-2</v>
      </c>
      <c r="I86" s="9">
        <f t="shared" ref="I86" si="109">+I55/I84</f>
        <v>2.5753328661527689E-2</v>
      </c>
      <c r="J86" s="9">
        <f t="shared" ref="J86" si="110">+J55/J84</f>
        <v>3.3890363891925644E-2</v>
      </c>
      <c r="K86" s="9">
        <f t="shared" ref="K86" si="111">+K55/K84</f>
        <v>0.10493413708417053</v>
      </c>
      <c r="L86" s="9">
        <f>+L55/L84</f>
        <v>8.6673104780299381E-2</v>
      </c>
      <c r="P86" s="9">
        <f t="shared" ref="P86" si="112">+P55/P84</f>
        <v>7.1655402654506983E-2</v>
      </c>
      <c r="Q86" s="9">
        <f t="shared" ref="Q86" si="113">+Q55/Q84</f>
        <v>6.385890223506159E-2</v>
      </c>
      <c r="R86" s="9">
        <f t="shared" ref="R86" si="114">+R55/R84</f>
        <v>6.5533205619412491E-2</v>
      </c>
      <c r="S86" s="9">
        <f t="shared" ref="S86:U86" si="115">+S55/S84</f>
        <v>6.3077031503277203E-2</v>
      </c>
      <c r="T86" s="9">
        <f t="shared" si="115"/>
        <v>8.162885831163999E-2</v>
      </c>
      <c r="U86" s="9">
        <f t="shared" si="115"/>
        <v>5.8094074526573003E-2</v>
      </c>
    </row>
    <row r="88" spans="2:28" x14ac:dyDescent="0.2">
      <c r="B88" s="1" t="s">
        <v>67</v>
      </c>
      <c r="H88" s="3">
        <f>+H90+H93-H101-H107</f>
        <v>-7262.2999999999993</v>
      </c>
      <c r="L88" s="3">
        <f>+L90+L93-L101-L107</f>
        <v>-6595.1</v>
      </c>
      <c r="V88" s="3">
        <f>+L88+(V33/2)</f>
        <v>-5602.5083065999997</v>
      </c>
      <c r="W88" s="3">
        <f>+V88+W33</f>
        <v>-3145.6355778199991</v>
      </c>
      <c r="X88" s="3">
        <f t="shared" ref="X88:AB88" si="116">+W88+X33</f>
        <v>-340.99601386115955</v>
      </c>
      <c r="Y88" s="3">
        <f t="shared" si="116"/>
        <v>2783.3023346611176</v>
      </c>
      <c r="Z88" s="3">
        <f t="shared" si="116"/>
        <v>6343.8721765429964</v>
      </c>
      <c r="AA88" s="3">
        <f t="shared" si="116"/>
        <v>10396.197327949705</v>
      </c>
      <c r="AB88" s="3">
        <f t="shared" si="116"/>
        <v>14989.170625797076</v>
      </c>
    </row>
    <row r="90" spans="2:28" x14ac:dyDescent="0.2">
      <c r="B90" s="1" t="s">
        <v>68</v>
      </c>
      <c r="C90" s="3"/>
      <c r="D90" s="3"/>
      <c r="E90" s="3"/>
      <c r="F90" s="3"/>
      <c r="G90" s="3"/>
      <c r="H90" s="3">
        <v>919.5</v>
      </c>
      <c r="I90" s="3"/>
      <c r="J90" s="3"/>
      <c r="K90" s="3"/>
      <c r="L90" s="3">
        <v>384</v>
      </c>
    </row>
    <row r="91" spans="2:28" x14ac:dyDescent="0.2">
      <c r="B91" s="1" t="s">
        <v>69</v>
      </c>
      <c r="C91" s="3"/>
      <c r="D91" s="3"/>
      <c r="E91" s="3"/>
      <c r="F91" s="3"/>
      <c r="G91" s="3"/>
      <c r="H91" s="3">
        <v>2834.2</v>
      </c>
      <c r="I91" s="3"/>
      <c r="J91" s="3"/>
      <c r="K91" s="3"/>
      <c r="L91" s="3">
        <v>2876.3</v>
      </c>
    </row>
    <row r="92" spans="2:28" x14ac:dyDescent="0.2">
      <c r="B92" s="1" t="s">
        <v>70</v>
      </c>
      <c r="C92" s="3"/>
      <c r="D92" s="3"/>
      <c r="E92" s="3"/>
      <c r="F92" s="3"/>
      <c r="G92" s="3"/>
      <c r="H92" s="3">
        <v>1497.2</v>
      </c>
      <c r="I92" s="3"/>
      <c r="J92" s="3"/>
      <c r="K92" s="3"/>
      <c r="L92" s="3">
        <v>1505.9</v>
      </c>
    </row>
    <row r="93" spans="2:28" x14ac:dyDescent="0.2">
      <c r="B93" s="1" t="s">
        <v>80</v>
      </c>
      <c r="C93" s="3"/>
      <c r="D93" s="3"/>
      <c r="E93" s="3"/>
      <c r="F93" s="3"/>
      <c r="G93" s="3"/>
      <c r="H93" s="3"/>
      <c r="I93" s="3"/>
      <c r="J93" s="3"/>
      <c r="K93" s="3"/>
      <c r="L93" s="3">
        <v>565.6</v>
      </c>
    </row>
    <row r="94" spans="2:28" x14ac:dyDescent="0.2">
      <c r="B94" s="1" t="s">
        <v>71</v>
      </c>
      <c r="C94" s="3"/>
      <c r="D94" s="3"/>
      <c r="E94" s="3"/>
      <c r="F94" s="3"/>
      <c r="G94" s="3"/>
      <c r="H94" s="3">
        <v>393.2</v>
      </c>
      <c r="I94" s="3"/>
      <c r="J94" s="3"/>
      <c r="K94" s="3"/>
      <c r="L94" s="3">
        <v>420.5</v>
      </c>
    </row>
    <row r="95" spans="2:28" x14ac:dyDescent="0.2">
      <c r="B95" s="1" t="s">
        <v>104</v>
      </c>
      <c r="C95" s="3"/>
      <c r="D95" s="3"/>
      <c r="E95" s="3"/>
      <c r="F95" s="3"/>
      <c r="G95" s="3"/>
      <c r="H95" s="3">
        <v>3474.6</v>
      </c>
      <c r="I95" s="3"/>
      <c r="J95" s="3"/>
      <c r="K95" s="3"/>
      <c r="L95" s="3">
        <v>3416.9</v>
      </c>
    </row>
    <row r="96" spans="2:28" x14ac:dyDescent="0.2">
      <c r="B96" s="1" t="s">
        <v>72</v>
      </c>
      <c r="C96" s="3"/>
      <c r="D96" s="3"/>
      <c r="E96" s="3"/>
      <c r="F96" s="3"/>
      <c r="G96" s="3"/>
      <c r="H96" s="3">
        <f>8148.2+3493.5</f>
        <v>11641.7</v>
      </c>
      <c r="I96" s="3"/>
      <c r="J96" s="3"/>
      <c r="K96" s="3"/>
      <c r="L96" s="3">
        <f>7821.9+3334</f>
        <v>11155.9</v>
      </c>
    </row>
    <row r="97" spans="2:12" x14ac:dyDescent="0.2">
      <c r="B97" s="1" t="s">
        <v>73</v>
      </c>
      <c r="C97" s="3"/>
      <c r="D97" s="3"/>
      <c r="E97" s="3"/>
      <c r="F97" s="3"/>
      <c r="G97" s="3"/>
      <c r="H97" s="3">
        <v>553.5</v>
      </c>
      <c r="I97" s="3"/>
      <c r="J97" s="3"/>
      <c r="K97" s="3"/>
      <c r="L97" s="3">
        <v>573</v>
      </c>
    </row>
    <row r="98" spans="2:12" x14ac:dyDescent="0.2">
      <c r="B98" s="1" t="s">
        <v>74</v>
      </c>
      <c r="C98" s="3"/>
      <c r="D98" s="3"/>
      <c r="E98" s="3"/>
      <c r="F98" s="3"/>
      <c r="G98" s="3"/>
      <c r="H98" s="3">
        <v>532.70000000000005</v>
      </c>
      <c r="I98" s="3"/>
      <c r="J98" s="3"/>
      <c r="K98" s="3"/>
      <c r="L98" s="3">
        <v>563.70000000000005</v>
      </c>
    </row>
    <row r="99" spans="2:12" x14ac:dyDescent="0.2">
      <c r="B99" s="1" t="s">
        <v>75</v>
      </c>
      <c r="C99" s="3"/>
      <c r="D99" s="3"/>
      <c r="E99" s="3"/>
      <c r="F99" s="3"/>
      <c r="G99" s="3"/>
      <c r="H99" s="3">
        <f>+SUM(H90:H98)</f>
        <v>21846.600000000002</v>
      </c>
      <c r="I99" s="3"/>
      <c r="J99" s="3"/>
      <c r="K99" s="3"/>
      <c r="L99" s="3">
        <f>+SUM(L90:L98)</f>
        <v>21461.8</v>
      </c>
    </row>
    <row r="100" spans="2:12" x14ac:dyDescent="0.2">
      <c r="C100" s="3"/>
      <c r="D100" s="3"/>
      <c r="E100" s="3"/>
      <c r="F100" s="3"/>
      <c r="G100" s="3"/>
      <c r="H100" s="3"/>
      <c r="I100" s="3"/>
      <c r="J100" s="3"/>
      <c r="K100" s="3"/>
    </row>
    <row r="101" spans="2:12" x14ac:dyDescent="0.2">
      <c r="B101" s="1" t="s">
        <v>76</v>
      </c>
      <c r="C101" s="3"/>
      <c r="D101" s="3"/>
      <c r="E101" s="3"/>
      <c r="F101" s="3"/>
      <c r="G101" s="3"/>
      <c r="H101" s="3">
        <v>630.4</v>
      </c>
      <c r="I101" s="3"/>
      <c r="J101" s="3"/>
      <c r="K101" s="3"/>
      <c r="L101" s="3">
        <v>5.9</v>
      </c>
    </row>
    <row r="102" spans="2:12" x14ac:dyDescent="0.2">
      <c r="B102" s="1" t="s">
        <v>77</v>
      </c>
      <c r="C102" s="3"/>
      <c r="D102" s="3"/>
      <c r="E102" s="3"/>
      <c r="F102" s="3"/>
      <c r="G102" s="3"/>
      <c r="H102" s="3">
        <v>1566.3</v>
      </c>
      <c r="I102" s="3"/>
      <c r="J102" s="3"/>
      <c r="K102" s="3"/>
      <c r="L102" s="3">
        <v>1690.7</v>
      </c>
    </row>
    <row r="103" spans="2:12" x14ac:dyDescent="0.2">
      <c r="B103" s="1" t="s">
        <v>78</v>
      </c>
      <c r="C103" s="3"/>
      <c r="D103" s="3"/>
      <c r="E103" s="3"/>
      <c r="F103" s="3"/>
      <c r="G103" s="3"/>
      <c r="H103" s="3">
        <v>655.5</v>
      </c>
      <c r="I103" s="3"/>
      <c r="J103" s="3"/>
      <c r="K103" s="3"/>
      <c r="L103" s="3">
        <v>540.5</v>
      </c>
    </row>
    <row r="104" spans="2:12" x14ac:dyDescent="0.2">
      <c r="B104" s="1" t="s">
        <v>79</v>
      </c>
      <c r="C104" s="3"/>
      <c r="D104" s="3"/>
      <c r="E104" s="3"/>
      <c r="F104" s="3"/>
      <c r="G104" s="3"/>
      <c r="H104" s="3">
        <v>158.69999999999999</v>
      </c>
      <c r="I104" s="3"/>
      <c r="J104" s="3"/>
      <c r="K104" s="3"/>
      <c r="L104" s="3">
        <v>137.19999999999999</v>
      </c>
    </row>
    <row r="105" spans="2:12" x14ac:dyDescent="0.2">
      <c r="B105" s="1" t="s">
        <v>81</v>
      </c>
      <c r="C105" s="3"/>
      <c r="D105" s="3"/>
      <c r="E105" s="3"/>
      <c r="F105" s="3"/>
      <c r="G105" s="3"/>
      <c r="H105" s="3"/>
      <c r="I105" s="3"/>
      <c r="J105" s="3"/>
      <c r="K105" s="3"/>
      <c r="L105" s="3">
        <v>62.5</v>
      </c>
    </row>
    <row r="106" spans="2:12" x14ac:dyDescent="0.2">
      <c r="B106" s="1" t="s">
        <v>82</v>
      </c>
      <c r="C106" s="3"/>
      <c r="D106" s="3"/>
      <c r="E106" s="3"/>
      <c r="F106" s="3"/>
      <c r="G106" s="3"/>
      <c r="H106" s="3">
        <v>1334.9</v>
      </c>
      <c r="I106" s="3"/>
      <c r="J106" s="3"/>
      <c r="K106" s="3"/>
      <c r="L106" s="3">
        <v>1410.8</v>
      </c>
    </row>
    <row r="107" spans="2:12" x14ac:dyDescent="0.2">
      <c r="B107" s="1" t="s">
        <v>83</v>
      </c>
      <c r="C107" s="3"/>
      <c r="D107" s="3"/>
      <c r="E107" s="3"/>
      <c r="F107" s="3"/>
      <c r="G107" s="3"/>
      <c r="H107" s="3">
        <v>7551.4</v>
      </c>
      <c r="I107" s="3"/>
      <c r="J107" s="3"/>
      <c r="K107" s="3"/>
      <c r="L107" s="3">
        <v>7538.8</v>
      </c>
    </row>
    <row r="108" spans="2:12" x14ac:dyDescent="0.2">
      <c r="B108" s="1" t="s">
        <v>84</v>
      </c>
      <c r="C108" s="3"/>
      <c r="D108" s="3"/>
      <c r="E108" s="3"/>
      <c r="F108" s="3"/>
      <c r="G108" s="3"/>
      <c r="H108" s="3">
        <v>651.70000000000005</v>
      </c>
      <c r="I108" s="3"/>
      <c r="J108" s="3"/>
      <c r="K108" s="3"/>
      <c r="L108" s="3">
        <v>627.1</v>
      </c>
    </row>
    <row r="109" spans="2:12" x14ac:dyDescent="0.2">
      <c r="B109" s="1" t="s">
        <v>44</v>
      </c>
      <c r="C109" s="3"/>
      <c r="D109" s="3"/>
      <c r="E109" s="3"/>
      <c r="F109" s="3"/>
      <c r="G109" s="3"/>
      <c r="H109" s="3">
        <v>418.2</v>
      </c>
      <c r="I109" s="3"/>
      <c r="J109" s="3"/>
      <c r="K109" s="3"/>
      <c r="L109" s="3">
        <v>290.7</v>
      </c>
    </row>
    <row r="110" spans="2:12" x14ac:dyDescent="0.2">
      <c r="B110" s="1" t="s">
        <v>85</v>
      </c>
      <c r="C110" s="3"/>
      <c r="D110" s="3"/>
      <c r="E110" s="3"/>
      <c r="F110" s="3"/>
      <c r="G110" s="3"/>
      <c r="H110" s="3">
        <v>425.5</v>
      </c>
      <c r="I110" s="3"/>
      <c r="J110" s="3"/>
      <c r="K110" s="3"/>
      <c r="L110" s="3">
        <v>438.6</v>
      </c>
    </row>
    <row r="111" spans="2:12" x14ac:dyDescent="0.2">
      <c r="B111" s="1" t="s">
        <v>86</v>
      </c>
      <c r="C111" s="3"/>
      <c r="D111" s="3"/>
      <c r="E111" s="3"/>
      <c r="F111" s="3"/>
      <c r="G111" s="3"/>
      <c r="H111" s="1">
        <v>381.8</v>
      </c>
      <c r="I111" s="3"/>
      <c r="J111" s="3"/>
      <c r="K111" s="3"/>
      <c r="L111" s="3">
        <v>411.1</v>
      </c>
    </row>
    <row r="112" spans="2:12" x14ac:dyDescent="0.2">
      <c r="B112" s="1" t="s">
        <v>87</v>
      </c>
      <c r="C112" s="3"/>
      <c r="D112" s="3"/>
      <c r="E112" s="3"/>
      <c r="F112" s="3"/>
      <c r="G112" s="3"/>
      <c r="H112" s="3">
        <f>+SUM(H101:H111)</f>
        <v>13774.4</v>
      </c>
      <c r="I112" s="3"/>
      <c r="J112" s="3"/>
      <c r="K112" s="3"/>
      <c r="L112" s="3">
        <f>+SUM(L101:L111)</f>
        <v>13153.900000000003</v>
      </c>
    </row>
    <row r="113" spans="2:21" x14ac:dyDescent="0.2">
      <c r="C113" s="3"/>
      <c r="D113" s="3"/>
      <c r="E113" s="3"/>
      <c r="F113" s="3"/>
      <c r="G113" s="3"/>
      <c r="H113" s="3"/>
      <c r="I113" s="3"/>
      <c r="J113" s="3"/>
      <c r="K113" s="3"/>
      <c r="L113" s="3"/>
    </row>
    <row r="114" spans="2:21" x14ac:dyDescent="0.2">
      <c r="B114" s="1" t="s">
        <v>88</v>
      </c>
      <c r="C114" s="3"/>
      <c r="D114" s="3"/>
      <c r="E114" s="3"/>
      <c r="F114" s="3"/>
      <c r="G114" s="3"/>
      <c r="H114" s="3">
        <f>+H99-H112</f>
        <v>8072.2000000000025</v>
      </c>
      <c r="I114" s="3"/>
      <c r="J114" s="3"/>
      <c r="K114" s="3"/>
      <c r="L114" s="3">
        <f>+L99-L112</f>
        <v>8307.899999999996</v>
      </c>
    </row>
    <row r="116" spans="2:21" x14ac:dyDescent="0.2">
      <c r="B116" s="1" t="s">
        <v>105</v>
      </c>
      <c r="G116" s="8"/>
      <c r="H116" s="8"/>
      <c r="K116" s="8"/>
      <c r="L116" s="8"/>
      <c r="Q116" s="8">
        <f t="shared" ref="Q116:S116" si="117">+(Q26-P26)/(Q20-P20)</f>
        <v>0.34392468373050827</v>
      </c>
      <c r="R116" s="8">
        <f t="shared" si="117"/>
        <v>0.58240476807462982</v>
      </c>
      <c r="S116" s="8">
        <f t="shared" si="117"/>
        <v>0.21518718846112969</v>
      </c>
      <c r="T116" s="8">
        <f>+(T26-S26)/(T20-S20)</f>
        <v>-2.481611328796211E-2</v>
      </c>
      <c r="U116" s="8">
        <f t="shared" ref="U116" si="118">+(U26-T26)/(U20-T20)</f>
        <v>0.37954786294595477</v>
      </c>
    </row>
    <row r="118" spans="2:21" x14ac:dyDescent="0.2">
      <c r="B118" s="1" t="s">
        <v>121</v>
      </c>
      <c r="L118" s="9">
        <f>+L24/L20</f>
        <v>0.26988308495157809</v>
      </c>
      <c r="P118" s="9">
        <f>+P24/P20</f>
        <v>0.28684105022868411</v>
      </c>
      <c r="Q118" s="9">
        <f t="shared" ref="Q118:U118" si="119">+Q24/Q20</f>
        <v>0.28266199649737306</v>
      </c>
      <c r="R118" s="9">
        <f t="shared" si="119"/>
        <v>0.28066529829858694</v>
      </c>
      <c r="S118" s="9">
        <f t="shared" si="119"/>
        <v>0.26828502092970291</v>
      </c>
      <c r="T118" s="9">
        <f t="shared" si="119"/>
        <v>0.25753111828472347</v>
      </c>
      <c r="U118" s="9">
        <f t="shared" si="119"/>
        <v>0.26511403245388443</v>
      </c>
    </row>
  </sheetData>
  <hyperlinks>
    <hyperlink ref="A1" location="main!A1" display="main" xr:uid="{D7338977-3444-4897-AADA-A5DBEDCDCF67}"/>
  </hyperlink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2024-10-17T14:16:40Z</dcterms:created>
  <dcterms:modified xsi:type="dcterms:W3CDTF">2024-10-18T17:09:18Z</dcterms:modified>
</cp:coreProperties>
</file>