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https://phdisegutl-my.sharepoint.com/personal/l59357_aln_iseg_ulisboa_pt/Documents/Models/"/>
    </mc:Choice>
  </mc:AlternateContent>
  <xr:revisionPtr revIDLastSave="625" documentId="8_{3B3A4B7C-C683-454A-BE1B-6E99CD066D71}" xr6:coauthVersionLast="47" xr6:coauthVersionMax="47" xr10:uidLastSave="{EB8FABC0-9E1F-42E6-9B0D-48671DE46C26}"/>
  <bookViews>
    <workbookView xWindow="11424" yWindow="0" windowWidth="11712" windowHeight="12336" activeTab="1" xr2:uid="{773F3880-F59D-46FD-813D-AA1ECDEE8170}"/>
  </bookViews>
  <sheets>
    <sheet name="main" sheetId="1" r:id="rId1"/>
    <sheet name="mode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6" i="2" l="1"/>
  <c r="I5" i="2"/>
  <c r="I7" i="2" s="1"/>
  <c r="I11" i="2" s="1"/>
  <c r="I15" i="2" s="1"/>
  <c r="I17" i="2" s="1"/>
  <c r="B21" i="2"/>
  <c r="Q33" i="2"/>
  <c r="R33" i="2" s="1"/>
  <c r="AA3" i="2"/>
  <c r="Q18" i="2"/>
  <c r="R18" i="2" s="1"/>
  <c r="S18" i="2" s="1"/>
  <c r="T18" i="2" s="1"/>
  <c r="U18" i="2" s="1"/>
  <c r="V18" i="2" s="1"/>
  <c r="W18" i="2" s="1"/>
  <c r="X18" i="2" s="1"/>
  <c r="Q13" i="2"/>
  <c r="R13" i="2" s="1"/>
  <c r="S13" i="2" s="1"/>
  <c r="T13" i="2" s="1"/>
  <c r="U13" i="2" s="1"/>
  <c r="V13" i="2" s="1"/>
  <c r="W13" i="2" s="1"/>
  <c r="X13" i="2" s="1"/>
  <c r="Q12" i="2"/>
  <c r="R12" i="2" s="1"/>
  <c r="S12" i="2" s="1"/>
  <c r="T12" i="2" s="1"/>
  <c r="U12" i="2" s="1"/>
  <c r="V12" i="2" s="1"/>
  <c r="W12" i="2" s="1"/>
  <c r="X12" i="2" s="1"/>
  <c r="Q10" i="2"/>
  <c r="R10" i="2" s="1"/>
  <c r="S10" i="2" s="1"/>
  <c r="T10" i="2" s="1"/>
  <c r="U10" i="2" s="1"/>
  <c r="V10" i="2" s="1"/>
  <c r="W10" i="2" s="1"/>
  <c r="X10" i="2" s="1"/>
  <c r="Q9" i="2"/>
  <c r="R9" i="2" s="1"/>
  <c r="S9" i="2" s="1"/>
  <c r="T9" i="2" s="1"/>
  <c r="U9" i="2" s="1"/>
  <c r="V9" i="2" s="1"/>
  <c r="W9" i="2" s="1"/>
  <c r="X9" i="2" s="1"/>
  <c r="Q4" i="2"/>
  <c r="R4" i="2" s="1"/>
  <c r="S4" i="2" s="1"/>
  <c r="T4" i="2" s="1"/>
  <c r="U4" i="2" s="1"/>
  <c r="V4" i="2" s="1"/>
  <c r="W4" i="2" s="1"/>
  <c r="X4" i="2" s="1"/>
  <c r="Q3" i="2"/>
  <c r="R3" i="2" s="1"/>
  <c r="S3" i="2" s="1"/>
  <c r="T3" i="2" s="1"/>
  <c r="U3" i="2" s="1"/>
  <c r="V3" i="2" s="1"/>
  <c r="W3" i="2" s="1"/>
  <c r="X3" i="2" s="1"/>
  <c r="X30" i="2"/>
  <c r="W30" i="2"/>
  <c r="V30" i="2"/>
  <c r="U30" i="2"/>
  <c r="T30" i="2"/>
  <c r="S30" i="2"/>
  <c r="R30" i="2"/>
  <c r="Q30" i="2"/>
  <c r="F34" i="2"/>
  <c r="E34" i="2"/>
  <c r="E6" i="2"/>
  <c r="P35" i="2"/>
  <c r="Q35" i="2" s="1"/>
  <c r="R35" i="2" s="1"/>
  <c r="S35" i="2" s="1"/>
  <c r="T35" i="2" s="1"/>
  <c r="U35" i="2" s="1"/>
  <c r="V35" i="2" s="1"/>
  <c r="W35" i="2" s="1"/>
  <c r="X35" i="2" s="1"/>
  <c r="O35" i="2"/>
  <c r="N35" i="2"/>
  <c r="N36" i="2" s="1"/>
  <c r="D34" i="2"/>
  <c r="C34" i="2"/>
  <c r="H34" i="2"/>
  <c r="G34" i="2"/>
  <c r="P34" i="2"/>
  <c r="O34" i="2"/>
  <c r="P30" i="2"/>
  <c r="O30" i="2"/>
  <c r="N30" i="2"/>
  <c r="P6" i="2"/>
  <c r="Q6" i="2" s="1"/>
  <c r="R6" i="2" s="1"/>
  <c r="S6" i="2" s="1"/>
  <c r="T6" i="2" s="1"/>
  <c r="O5" i="2"/>
  <c r="N5" i="2"/>
  <c r="P5" i="2"/>
  <c r="P21" i="2"/>
  <c r="N21" i="2"/>
  <c r="O21" i="2"/>
  <c r="O6" i="2"/>
  <c r="N6" i="2"/>
  <c r="O1" i="2"/>
  <c r="P1" i="2" s="1"/>
  <c r="Q1" i="2" s="1"/>
  <c r="R1" i="2" s="1"/>
  <c r="S1" i="2" s="1"/>
  <c r="T1" i="2" s="1"/>
  <c r="U1" i="2" s="1"/>
  <c r="V1" i="2" s="1"/>
  <c r="W1" i="2" s="1"/>
  <c r="X1" i="2" s="1"/>
  <c r="B6" i="2"/>
  <c r="F6" i="2"/>
  <c r="C35" i="2"/>
  <c r="B35" i="2"/>
  <c r="H35" i="2"/>
  <c r="G35" i="2"/>
  <c r="F35" i="2"/>
  <c r="E35" i="2"/>
  <c r="D35" i="2"/>
  <c r="G30" i="2"/>
  <c r="F30" i="2"/>
  <c r="E30" i="2"/>
  <c r="D30" i="2"/>
  <c r="C30" i="2"/>
  <c r="B30" i="2"/>
  <c r="H30" i="2"/>
  <c r="C6" i="2"/>
  <c r="G6" i="2"/>
  <c r="C5" i="2"/>
  <c r="D26" i="2"/>
  <c r="H26" i="2"/>
  <c r="AA5" i="2" s="1"/>
  <c r="G21" i="2"/>
  <c r="F21" i="2"/>
  <c r="E21" i="2"/>
  <c r="D21" i="2"/>
  <c r="C21" i="2"/>
  <c r="H21" i="2"/>
  <c r="D6" i="2"/>
  <c r="H6" i="2"/>
  <c r="G5" i="2"/>
  <c r="F5" i="2"/>
  <c r="E5" i="2"/>
  <c r="D5" i="2"/>
  <c r="B5" i="2"/>
  <c r="H5" i="2"/>
  <c r="B6" i="1"/>
  <c r="B5" i="1"/>
  <c r="B2" i="1" a="1"/>
  <c r="B2" i="1" s="1"/>
  <c r="B4" i="1" s="1"/>
  <c r="E7" i="2" l="1"/>
  <c r="E11" i="2" s="1"/>
  <c r="E15" i="2" s="1"/>
  <c r="E17" i="2" s="1"/>
  <c r="E19" i="2" s="1"/>
  <c r="O23" i="2"/>
  <c r="P23" i="2"/>
  <c r="F36" i="2"/>
  <c r="S33" i="2"/>
  <c r="T33" i="2" s="1"/>
  <c r="U33" i="2" s="1"/>
  <c r="V33" i="2" s="1"/>
  <c r="W33" i="2" s="1"/>
  <c r="X33" i="2" s="1"/>
  <c r="S36" i="2"/>
  <c r="Q36" i="2"/>
  <c r="Q2" i="2"/>
  <c r="Q8" i="2" s="1"/>
  <c r="Q21" i="2" s="1"/>
  <c r="P36" i="2"/>
  <c r="O36" i="2"/>
  <c r="H36" i="2"/>
  <c r="G36" i="2"/>
  <c r="E36" i="2"/>
  <c r="D36" i="2"/>
  <c r="C36" i="2"/>
  <c r="Q34" i="2"/>
  <c r="R34" i="2"/>
  <c r="U6" i="2"/>
  <c r="G23" i="2"/>
  <c r="H7" i="2"/>
  <c r="H11" i="2" s="1"/>
  <c r="H15" i="2" s="1"/>
  <c r="H17" i="2" s="1"/>
  <c r="P7" i="2"/>
  <c r="P11" i="2" s="1"/>
  <c r="P15" i="2" s="1"/>
  <c r="P17" i="2" s="1"/>
  <c r="H23" i="2"/>
  <c r="N7" i="2"/>
  <c r="N11" i="2" s="1"/>
  <c r="O7" i="2"/>
  <c r="O11" i="2" s="1"/>
  <c r="B7" i="2"/>
  <c r="B11" i="2" s="1"/>
  <c r="B15" i="2" s="1"/>
  <c r="B17" i="2" s="1"/>
  <c r="F7" i="2"/>
  <c r="F11" i="2" s="1"/>
  <c r="F15" i="2" s="1"/>
  <c r="F17" i="2" s="1"/>
  <c r="F23" i="2"/>
  <c r="D7" i="2"/>
  <c r="D11" i="2" s="1"/>
  <c r="D15" i="2" s="1"/>
  <c r="D17" i="2" s="1"/>
  <c r="C7" i="2"/>
  <c r="C11" i="2" s="1"/>
  <c r="C15" i="2" s="1"/>
  <c r="C17" i="2" s="1"/>
  <c r="G7" i="2"/>
  <c r="G11" i="2" s="1"/>
  <c r="G15" i="2" s="1"/>
  <c r="G17" i="2" s="1"/>
  <c r="B7" i="1"/>
  <c r="E24" i="2" l="1"/>
  <c r="B19" i="2"/>
  <c r="B24" i="2"/>
  <c r="C19" i="2"/>
  <c r="C24" i="2"/>
  <c r="F19" i="2"/>
  <c r="F24" i="2"/>
  <c r="G19" i="2"/>
  <c r="G24" i="2"/>
  <c r="D19" i="2"/>
  <c r="D24" i="2"/>
  <c r="H19" i="2"/>
  <c r="H24" i="2"/>
  <c r="S34" i="2"/>
  <c r="Q5" i="2"/>
  <c r="Q23" i="2" s="1"/>
  <c r="T2" i="2"/>
  <c r="R36" i="2"/>
  <c r="S2" i="2"/>
  <c r="S8" i="2" s="1"/>
  <c r="S21" i="2" s="1"/>
  <c r="R2" i="2"/>
  <c r="R5" i="2" s="1"/>
  <c r="T34" i="2"/>
  <c r="V6" i="2"/>
  <c r="P19" i="2"/>
  <c r="P24" i="2"/>
  <c r="N15" i="2"/>
  <c r="N17" i="2" s="1"/>
  <c r="O15" i="2"/>
  <c r="O17" i="2" s="1"/>
  <c r="O19" i="2" l="1"/>
  <c r="O24" i="2"/>
  <c r="N19" i="2"/>
  <c r="N24" i="2"/>
  <c r="R8" i="2"/>
  <c r="R21" i="2" s="1"/>
  <c r="S5" i="2"/>
  <c r="S23" i="2" s="1"/>
  <c r="Q7" i="2"/>
  <c r="Q11" i="2" s="1"/>
  <c r="Q15" i="2" s="1"/>
  <c r="Q16" i="2" s="1"/>
  <c r="Q17" i="2" s="1"/>
  <c r="T36" i="2"/>
  <c r="U34" i="2"/>
  <c r="T8" i="2"/>
  <c r="T21" i="2" s="1"/>
  <c r="T5" i="2"/>
  <c r="T7" i="2" s="1"/>
  <c r="R7" i="2"/>
  <c r="R23" i="2"/>
  <c r="W6" i="2"/>
  <c r="R11" i="2" l="1"/>
  <c r="R15" i="2" s="1"/>
  <c r="R16" i="2" s="1"/>
  <c r="R17" i="2" s="1"/>
  <c r="S7" i="2"/>
  <c r="S11" i="2" s="1"/>
  <c r="S15" i="2" s="1"/>
  <c r="S16" i="2" s="1"/>
  <c r="S17" i="2" s="1"/>
  <c r="U36" i="2"/>
  <c r="U2" i="2"/>
  <c r="U8" i="2" s="1"/>
  <c r="U21" i="2" s="1"/>
  <c r="T11" i="2"/>
  <c r="T15" i="2" s="1"/>
  <c r="T16" i="2" s="1"/>
  <c r="T17" i="2" s="1"/>
  <c r="T19" i="2" s="1"/>
  <c r="T23" i="2"/>
  <c r="V34" i="2"/>
  <c r="V2" i="2"/>
  <c r="Q19" i="2"/>
  <c r="Q24" i="2"/>
  <c r="X6" i="2"/>
  <c r="V36" i="2"/>
  <c r="U5" i="2" l="1"/>
  <c r="U23" i="2" s="1"/>
  <c r="T24" i="2"/>
  <c r="W34" i="2"/>
  <c r="W2" i="2"/>
  <c r="V8" i="2"/>
  <c r="V21" i="2" s="1"/>
  <c r="V5" i="2"/>
  <c r="S19" i="2"/>
  <c r="S24" i="2"/>
  <c r="R19" i="2"/>
  <c r="R24" i="2"/>
  <c r="X36" i="2"/>
  <c r="W36" i="2"/>
  <c r="U7" i="2" l="1"/>
  <c r="U11" i="2" s="1"/>
  <c r="U15" i="2" s="1"/>
  <c r="U16" i="2" s="1"/>
  <c r="U17" i="2" s="1"/>
  <c r="V23" i="2"/>
  <c r="V7" i="2"/>
  <c r="V11" i="2" s="1"/>
  <c r="V15" i="2" s="1"/>
  <c r="V16" i="2" s="1"/>
  <c r="V17" i="2" s="1"/>
  <c r="X2" i="2"/>
  <c r="X34" i="2"/>
  <c r="W8" i="2"/>
  <c r="W21" i="2" s="1"/>
  <c r="W5" i="2"/>
  <c r="V24" i="2" l="1"/>
  <c r="V19" i="2"/>
  <c r="U24" i="2"/>
  <c r="U19" i="2"/>
  <c r="W23" i="2"/>
  <c r="W7" i="2"/>
  <c r="W11" i="2" s="1"/>
  <c r="W15" i="2" s="1"/>
  <c r="W16" i="2" s="1"/>
  <c r="W17" i="2" s="1"/>
  <c r="X8" i="2"/>
  <c r="X21" i="2" s="1"/>
  <c r="X5" i="2"/>
  <c r="X23" i="2" l="1"/>
  <c r="X7" i="2"/>
  <c r="X11" i="2" s="1"/>
  <c r="X15" i="2" s="1"/>
  <c r="X16" i="2" s="1"/>
  <c r="X17" i="2" s="1"/>
  <c r="W19" i="2"/>
  <c r="W24" i="2"/>
  <c r="Y17" i="2" l="1"/>
  <c r="Z17" i="2" s="1"/>
  <c r="AA17" i="2" s="1"/>
  <c r="AB17" i="2" s="1"/>
  <c r="AC17" i="2" s="1"/>
  <c r="AD17" i="2" s="1"/>
  <c r="AE17" i="2" s="1"/>
  <c r="AF17" i="2" s="1"/>
  <c r="AG17" i="2" s="1"/>
  <c r="AH17" i="2" s="1"/>
  <c r="AI17" i="2" s="1"/>
  <c r="AJ17" i="2" s="1"/>
  <c r="AK17" i="2" s="1"/>
  <c r="AL17" i="2" s="1"/>
  <c r="AM17" i="2" s="1"/>
  <c r="AN17" i="2" s="1"/>
  <c r="AO17" i="2" s="1"/>
  <c r="AP17" i="2" s="1"/>
  <c r="AQ17" i="2" s="1"/>
  <c r="AR17" i="2" s="1"/>
  <c r="AS17" i="2" s="1"/>
  <c r="AT17" i="2" s="1"/>
  <c r="AU17" i="2" s="1"/>
  <c r="AV17" i="2" s="1"/>
  <c r="AW17" i="2" s="1"/>
  <c r="AX17" i="2" s="1"/>
  <c r="AY17" i="2" s="1"/>
  <c r="AZ17" i="2" s="1"/>
  <c r="BA17" i="2" s="1"/>
  <c r="BB17" i="2" s="1"/>
  <c r="BC17" i="2" s="1"/>
  <c r="BD17" i="2" s="1"/>
  <c r="BE17" i="2" s="1"/>
  <c r="BF17" i="2" s="1"/>
  <c r="BG17" i="2" s="1"/>
  <c r="BH17" i="2" s="1"/>
  <c r="BI17" i="2" s="1"/>
  <c r="BJ17" i="2" s="1"/>
  <c r="BK17" i="2" s="1"/>
  <c r="BL17" i="2" s="1"/>
  <c r="BM17" i="2" s="1"/>
  <c r="BN17" i="2" s="1"/>
  <c r="BO17" i="2" s="1"/>
  <c r="BP17" i="2" s="1"/>
  <c r="BQ17" i="2" s="1"/>
  <c r="X19" i="2"/>
  <c r="X24" i="2"/>
  <c r="AA4" i="2" l="1"/>
  <c r="AA6" i="2" s="1"/>
  <c r="AA7" i="2" s="1"/>
  <c r="AA8"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<sst xmlns="http://schemas.openxmlformats.org/spreadsheetml/2006/main" count="70" uniqueCount="67">
  <si>
    <t>ticket</t>
  </si>
  <si>
    <t>price</t>
  </si>
  <si>
    <t>shares</t>
  </si>
  <si>
    <t>mc</t>
  </si>
  <si>
    <t>cash</t>
  </si>
  <si>
    <t>debt</t>
  </si>
  <si>
    <t>ev</t>
  </si>
  <si>
    <t>Q3 2022</t>
  </si>
  <si>
    <t>Q3 2023</t>
  </si>
  <si>
    <t>Premiums</t>
  </si>
  <si>
    <t>Products</t>
  </si>
  <si>
    <t>Services</t>
  </si>
  <si>
    <t>Total Revenue</t>
  </si>
  <si>
    <t>Core Revenue</t>
  </si>
  <si>
    <t>Net investment income</t>
  </si>
  <si>
    <t>Benefit expenses</t>
  </si>
  <si>
    <t>Cost of products sold</t>
  </si>
  <si>
    <t>Operating Expenses</t>
  </si>
  <si>
    <t>Operating Income</t>
  </si>
  <si>
    <t>Interest Expenses</t>
  </si>
  <si>
    <t>Amortization</t>
  </si>
  <si>
    <t>Pretax Income</t>
  </si>
  <si>
    <t>Taxes</t>
  </si>
  <si>
    <t>Net income</t>
  </si>
  <si>
    <t>Shares</t>
  </si>
  <si>
    <t>EPS</t>
  </si>
  <si>
    <t>MLR</t>
  </si>
  <si>
    <t>net cash</t>
  </si>
  <si>
    <t>Revenue Y/Y %</t>
  </si>
  <si>
    <t xml:space="preserve">CFFO </t>
  </si>
  <si>
    <t>CAPEX</t>
  </si>
  <si>
    <t>FCF</t>
  </si>
  <si>
    <t>Dividends</t>
  </si>
  <si>
    <t>Medical Membership</t>
  </si>
  <si>
    <t>Revenue per member</t>
  </si>
  <si>
    <t>Q2 2023</t>
  </si>
  <si>
    <t>Q1 2023</t>
  </si>
  <si>
    <t>Q4 2022</t>
  </si>
  <si>
    <t>Q2 2022</t>
  </si>
  <si>
    <t>Q1 2022</t>
  </si>
  <si>
    <t>Other Expenses</t>
  </si>
  <si>
    <t>Member Growth %</t>
  </si>
  <si>
    <t>Net Margin %</t>
  </si>
  <si>
    <t>Revenue per member growth</t>
  </si>
  <si>
    <t>Discount rate</t>
  </si>
  <si>
    <t>maturity</t>
  </si>
  <si>
    <t>NPV</t>
  </si>
  <si>
    <t>Info/news:</t>
  </si>
  <si>
    <t>-Elevance Health offers a comprehensive suite of commercial, Medicare, and Medicaid plans</t>
  </si>
  <si>
    <t>CEO</t>
  </si>
  <si>
    <t>Gail Boudreaux</t>
  </si>
  <si>
    <t>CFO</t>
  </si>
  <si>
    <t>Mark Kaye</t>
  </si>
  <si>
    <t>previously served as chief financial officer for Moody’s Corporation</t>
  </si>
  <si>
    <t>more than 3 decades of healthcare expericence, was CEO of UNH from 2011 to 2014</t>
  </si>
  <si>
    <t>employees</t>
  </si>
  <si>
    <t>- owns Anthem, WellPoint and Carelon</t>
  </si>
  <si>
    <t>-in 2023YTD the Company repurchased 3.8 million shares of its common stock for $1.7 billion</t>
  </si>
  <si>
    <t>'-Elevance Health’s companies serve approximately 117 million people</t>
  </si>
  <si>
    <t>-The demand for healthcare services, and hence health insurance, is increasing because of population aging and the growing prevalence of chronic disease, as well as rising incomes in the developing world</t>
  </si>
  <si>
    <t>in infinity equals US population growth</t>
  </si>
  <si>
    <t>cpi + 2/3%</t>
  </si>
  <si>
    <t xml:space="preserve">-&gt; medical loss ratio </t>
  </si>
  <si>
    <t>Q4 2023</t>
  </si>
  <si>
    <t>Q1 2024</t>
  </si>
  <si>
    <t>Q2 2024</t>
  </si>
  <si>
    <t>Q3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</si>
</sst>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409]* #,##0.00_);_([$$-409]* \(#,##0.00\);_([$$-409]* &quot;-&quot;??_);_(@_)"/>
    <numFmt numFmtId="165" formatCode="_-[$$-409]* #,##0.00_ ;_-[$$-409]* \-#,##0.00\ ;_-[$$-409]* &quot;-&quot;??_ ;_-@_ "/>
    <numFmt numFmtId="166" formatCode="[$$-409]#,##0.00"/>
    <numFmt numFmtId="167" formatCode="0.0%"/>
    <numFmt numFmtId="168" formatCode="#,##0.000"/>
  </numFmts>
  <fonts count="4" x14ac:knownFonts="1">
    <font>
      <sz val="11"/>
      <color theme="1"/>
      <name val="Calibri"/>
      <family val="2"/>
      <scheme val="minor"/>
    </font>
    <font>
      <sz val="11"/>
      <color theme="1"/>
      <name val="Calibri"/>
      <family val="2"/>
      <scheme val="minor"/>
    </font>
    <font>
      <b/>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16">
    <xf numFmtId="0" fontId="0" fillId="0" borderId="0" xfId="0"/>
    <xf numFmtId="164" fontId="0" fillId="0" borderId="0" xfId="0" applyNumberFormat="1"/>
    <xf numFmtId="165" fontId="0" fillId="0" borderId="0" xfId="0" applyNumberFormat="1"/>
    <xf numFmtId="0" fontId="0" fillId="0" borderId="0" xfId="0" quotePrefix="1"/>
    <xf numFmtId="0" fontId="2" fillId="0" borderId="0" xfId="0" applyFont="1"/>
    <xf numFmtId="0" fontId="3" fillId="0" borderId="0" xfId="0" applyFont="1"/>
    <xf numFmtId="3" fontId="3" fillId="0" borderId="0" xfId="0" applyNumberFormat="1" applyFont="1"/>
    <xf numFmtId="9" fontId="3" fillId="0" borderId="0" xfId="0" applyNumberFormat="1" applyFont="1"/>
    <xf numFmtId="10" fontId="3" fillId="0" borderId="0" xfId="0" applyNumberFormat="1" applyFont="1"/>
    <xf numFmtId="166" fontId="3" fillId="0" borderId="0" xfId="0" applyNumberFormat="1" applyFont="1"/>
    <xf numFmtId="3" fontId="2" fillId="0" borderId="0" xfId="0" applyNumberFormat="1" applyFont="1"/>
    <xf numFmtId="167" fontId="2" fillId="0" borderId="0" xfId="1" applyNumberFormat="1" applyFont="1"/>
    <xf numFmtId="0" fontId="3" fillId="0" borderId="0" xfId="0" quotePrefix="1" applyFont="1"/>
    <xf numFmtId="167" fontId="3" fillId="0" borderId="0" xfId="1" applyNumberFormat="1" applyFont="1"/>
    <xf numFmtId="168" fontId="3" fillId="0" borderId="0" xfId="0" applyNumberFormat="1" applyFont="1"/>
    <xf numFmtId="10" fontId="3"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22</xdr:row>
      <xdr:rowOff>0</xdr:rowOff>
    </xdr:from>
    <xdr:to>
      <xdr:col>5</xdr:col>
      <xdr:colOff>219788</xdr:colOff>
      <xdr:row>48</xdr:row>
      <xdr:rowOff>10218</xdr:rowOff>
    </xdr:to>
    <xdr:pic>
      <xdr:nvPicPr>
        <xdr:cNvPr id="2" name="Picture 1">
          <a:extLst>
            <a:ext uri="{FF2B5EF4-FFF2-40B4-BE49-F238E27FC236}">
              <a16:creationId xmlns:a16="http://schemas.microsoft.com/office/drawing/2014/main" id="{D2B57AA1-B97C-B8F0-E2F0-4EEAF27F9C42}"/>
            </a:ext>
          </a:extLst>
        </xdr:cNvPr>
        <xdr:cNvPicPr>
          <a:picLocks noChangeAspect="1"/>
        </xdr:cNvPicPr>
      </xdr:nvPicPr>
      <xdr:blipFill>
        <a:blip xmlns:r="http://schemas.openxmlformats.org/officeDocument/2006/relationships" r:embed="rId1"/>
        <a:stretch>
          <a:fillRect/>
        </a:stretch>
      </xdr:blipFill>
      <xdr:spPr>
        <a:xfrm>
          <a:off x="0" y="4191000"/>
          <a:ext cx="5106113" cy="4963218"/>
        </a:xfrm>
        <a:prstGeom prst="rect">
          <a:avLst/>
        </a:prstGeom>
      </xdr:spPr>
    </xdr:pic>
    <xdr:clientData/>
  </xdr:twoCellAnchor>
  <xdr:twoCellAnchor>
    <xdr:from>
      <xdr:col>1</xdr:col>
      <xdr:colOff>342900</xdr:colOff>
      <xdr:row>22</xdr:row>
      <xdr:rowOff>95250</xdr:rowOff>
    </xdr:from>
    <xdr:to>
      <xdr:col>3</xdr:col>
      <xdr:colOff>542925</xdr:colOff>
      <xdr:row>24</xdr:row>
      <xdr:rowOff>171450</xdr:rowOff>
    </xdr:to>
    <xdr:sp macro="" textlink="">
      <xdr:nvSpPr>
        <xdr:cNvPr id="3" name="TextBox 2">
          <a:extLst>
            <a:ext uri="{FF2B5EF4-FFF2-40B4-BE49-F238E27FC236}">
              <a16:creationId xmlns:a16="http://schemas.microsoft.com/office/drawing/2014/main" id="{31D9B407-5508-6233-C7BC-DD33CCAF999C}"/>
            </a:ext>
          </a:extLst>
        </xdr:cNvPr>
        <xdr:cNvSpPr txBox="1"/>
      </xdr:nvSpPr>
      <xdr:spPr>
        <a:xfrm>
          <a:off x="1057275" y="4286250"/>
          <a:ext cx="3152775" cy="457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b="1" i="0">
              <a:solidFill>
                <a:schemeClr val="dk1"/>
              </a:solidFill>
              <a:effectLst/>
              <a:latin typeface="+mn-lt"/>
              <a:ea typeface="+mn-ea"/>
              <a:cs typeface="+mn-cs"/>
            </a:rPr>
            <a:t>Forecasted national per capita health expenditure in the United States</a:t>
          </a:r>
          <a:endParaRPr lang="en-GB" sz="1100"/>
        </a:p>
      </xdr:txBody>
    </xdr:sp>
    <xdr:clientData/>
  </xdr:twoCellAnchor>
  <xdr:twoCellAnchor editAs="oneCell">
    <xdr:from>
      <xdr:col>6</xdr:col>
      <xdr:colOff>0</xdr:colOff>
      <xdr:row>22</xdr:row>
      <xdr:rowOff>0</xdr:rowOff>
    </xdr:from>
    <xdr:to>
      <xdr:col>16</xdr:col>
      <xdr:colOff>210430</xdr:colOff>
      <xdr:row>44</xdr:row>
      <xdr:rowOff>153006</xdr:rowOff>
    </xdr:to>
    <xdr:pic>
      <xdr:nvPicPr>
        <xdr:cNvPr id="4" name="Picture 3">
          <a:extLst>
            <a:ext uri="{FF2B5EF4-FFF2-40B4-BE49-F238E27FC236}">
              <a16:creationId xmlns:a16="http://schemas.microsoft.com/office/drawing/2014/main" id="{EE7A04A3-CB5F-3AA3-934E-1F96031CD69D}"/>
            </a:ext>
          </a:extLst>
        </xdr:cNvPr>
        <xdr:cNvPicPr>
          <a:picLocks noChangeAspect="1"/>
        </xdr:cNvPicPr>
      </xdr:nvPicPr>
      <xdr:blipFill>
        <a:blip xmlns:r="http://schemas.openxmlformats.org/officeDocument/2006/relationships" r:embed="rId2"/>
        <a:stretch>
          <a:fillRect/>
        </a:stretch>
      </xdr:blipFill>
      <xdr:spPr>
        <a:xfrm>
          <a:off x="5495925" y="4191000"/>
          <a:ext cx="6306430" cy="43440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16</xdr:col>
      <xdr:colOff>0</xdr:colOff>
      <xdr:row>0</xdr:row>
      <xdr:rowOff>47625</xdr:rowOff>
    </xdr:from>
    <xdr:to>
      <xdr:col>16</xdr:col>
      <xdr:colOff>10583</xdr:colOff>
      <xdr:row>36</xdr:row>
      <xdr:rowOff>158750</xdr:rowOff>
    </xdr:to>
    <xdr:cxnSp macro="">
      <xdr:nvCxnSpPr>
        <xdr:cNvPr id="3" name="Straight Connector 2">
          <a:extLst>
            <a:ext uri="{FF2B5EF4-FFF2-40B4-BE49-F238E27FC236}">
              <a16:creationId xmlns:a16="http://schemas.microsoft.com/office/drawing/2014/main" id="{6EF9D5F9-C002-F500-EB9C-A4A9C45B024A}"/>
            </a:ext>
          </a:extLst>
        </xdr:cNvPr>
        <xdr:cNvCxnSpPr/>
      </xdr:nvCxnSpPr>
      <xdr:spPr>
        <a:xfrm>
          <a:off x="10466917" y="47625"/>
          <a:ext cx="10583" cy="6969125"/>
        </a:xfrm>
        <a:prstGeom prst="line">
          <a:avLst/>
        </a:prstGeom>
        <a:ln w="12700"/>
      </xdr:spPr>
      <xdr:style>
        <a:lnRef idx="1">
          <a:schemeClr val="dk1"/>
        </a:lnRef>
        <a:fillRef idx="0">
          <a:schemeClr val="dk1"/>
        </a:fillRef>
        <a:effectRef idx="0">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https://www.bing.com/financeapi/forcetrigger?t=a1njmw&amp;q=XNYS%3aELV&amp;form=skydnc</v>
    <v>Learn more on Bing</v>
  </rv>
  <rv s="1">
    <v>en-GB</v>
    <v>a1njmw</v>
    <v>268435456</v>
    <v>1</v>
    <v>Powered by Refinitiv</v>
    <v>0</v>
    <v>ELEVANCE HEALTH, INC. (XNYS:ELV)</v>
    <v>2</v>
    <v>3</v>
    <v>Finance</v>
    <v>4</v>
    <v>567.26</v>
    <v>397.98</v>
    <v>0.82830000000000004</v>
    <v>-4.24</v>
    <v>-9.9699999999999997E-3</v>
    <v>USD</v>
    <v>Elevance Health, Inc. is a health company. It operates as a health insurer in the United States. The Company operates through four segments: Health Benefit, CarelonRx, Carelon Services, and Corporate &amp; Other. The Health Benefits segment offers a comprehensive suite of health plans and services to Individual, employer group risk-based, employer group fee-based, BlueCard, Medicare, Medicaid and federal employees health benefits (FEHB) program members. The CarelonRx segment includes its pharmacy business. CarelonRx markets and offers pharmacy services to affiliated health plan customers, as well as to external customers outside of the health plans. It also offers infusible and injectable therapies. Carelon Services offers healthcare-related services and capabilities to internal and external customers including integrated care delivery, behavioral health, palliative care, utilization management, payment integrity services and subrogation services, as well as health and wellness programs.</v>
    <v>104900</v>
    <v>New York Stock Exchange</v>
    <v>XNYS</v>
    <v>XNYS</v>
    <v>220 Virginia Avenue, INDIANAPOLIS, IN, 46204 US</v>
    <v>427.95499999999998</v>
    <v>Healthcare Providers &amp; Services</v>
    <v>Stock</v>
    <v>45593.68209012656</v>
    <v>0</v>
    <v>420.07</v>
    <v>97646456484</v>
    <v>ELEVANCE HEALTH, INC.</v>
    <v>ELEVANCE HEALTH, INC.</v>
    <v>425.82</v>
    <v>15.5032</v>
    <v>425.27</v>
    <v>421.03</v>
    <v>231922800</v>
    <v>ELV</v>
    <v>ELEVANCE HEALTH, INC. (XNYS:ELV)</v>
    <v>406324</v>
    <v>1801892</v>
    <v>2001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198830-8FA5-4875-BE55-F1C383FAD11D}">
  <dimension ref="A1:C21"/>
  <sheetViews>
    <sheetView workbookViewId="0">
      <selection activeCell="A26" sqref="A26"/>
    </sheetView>
  </sheetViews>
  <sheetFormatPr defaultRowHeight="14.4" x14ac:dyDescent="0.3"/>
  <cols>
    <col min="1" max="1" width="10.6640625" bestFit="1" customWidth="1"/>
    <col min="2" max="2" width="35.109375" bestFit="1" customWidth="1"/>
  </cols>
  <sheetData>
    <row r="1" spans="1:3" x14ac:dyDescent="0.3">
      <c r="A1" t="s">
        <v>0</v>
      </c>
      <c r="B1" t="e" vm="1">
        <v>#VALUE!</v>
      </c>
    </row>
    <row r="2" spans="1:3" x14ac:dyDescent="0.3">
      <c r="A2" t="s">
        <v>1</v>
      </c>
      <c r="B2" s="1" cm="1">
        <f t="array" aca="1" ref="B2" ca="1">_FV(B1,"Price")</f>
        <v>421.03</v>
      </c>
    </row>
    <row r="3" spans="1:3" x14ac:dyDescent="0.3">
      <c r="A3" t="s">
        <v>2</v>
      </c>
      <c r="B3">
        <v>234.959135</v>
      </c>
    </row>
    <row r="4" spans="1:3" x14ac:dyDescent="0.3">
      <c r="A4" t="s">
        <v>3</v>
      </c>
      <c r="B4" s="2">
        <f ca="1">B2*B3</f>
        <v>98924.844609049993</v>
      </c>
    </row>
    <row r="5" spans="1:3" x14ac:dyDescent="0.3">
      <c r="A5" t="s">
        <v>4</v>
      </c>
      <c r="B5">
        <f>10919+27811+165</f>
        <v>38895</v>
      </c>
    </row>
    <row r="6" spans="1:3" x14ac:dyDescent="0.3">
      <c r="A6" t="s">
        <v>5</v>
      </c>
      <c r="B6">
        <f>799+24045</f>
        <v>24844</v>
      </c>
    </row>
    <row r="7" spans="1:3" x14ac:dyDescent="0.3">
      <c r="A7" t="s">
        <v>6</v>
      </c>
      <c r="B7" s="2">
        <f ca="1">B4-B5+B6</f>
        <v>84873.844609049993</v>
      </c>
    </row>
    <row r="9" spans="1:3" x14ac:dyDescent="0.3">
      <c r="A9" t="s">
        <v>49</v>
      </c>
      <c r="B9" t="s">
        <v>50</v>
      </c>
      <c r="C9" t="s">
        <v>54</v>
      </c>
    </row>
    <row r="10" spans="1:3" x14ac:dyDescent="0.3">
      <c r="A10" t="s">
        <v>51</v>
      </c>
      <c r="B10" t="s">
        <v>52</v>
      </c>
      <c r="C10" t="s">
        <v>53</v>
      </c>
    </row>
    <row r="12" spans="1:3" x14ac:dyDescent="0.3">
      <c r="A12" t="s">
        <v>55</v>
      </c>
      <c r="B12">
        <v>102300</v>
      </c>
    </row>
    <row r="16" spans="1:3" x14ac:dyDescent="0.3">
      <c r="A16" t="s">
        <v>47</v>
      </c>
    </row>
    <row r="17" spans="1:1" x14ac:dyDescent="0.3">
      <c r="A17" s="3" t="s">
        <v>48</v>
      </c>
    </row>
    <row r="18" spans="1:1" x14ac:dyDescent="0.3">
      <c r="A18" s="3" t="s">
        <v>56</v>
      </c>
    </row>
    <row r="19" spans="1:1" x14ac:dyDescent="0.3">
      <c r="A19" s="3" t="s">
        <v>57</v>
      </c>
    </row>
    <row r="20" spans="1:1" x14ac:dyDescent="0.3">
      <c r="A20" t="s">
        <v>58</v>
      </c>
    </row>
    <row r="21" spans="1:1" x14ac:dyDescent="0.3">
      <c r="A21" s="3" t="s">
        <v>59</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0742C-39DE-4994-96E3-0D832F5F0980}">
  <dimension ref="A1:BQ36"/>
  <sheetViews>
    <sheetView tabSelected="1" zoomScale="80" zoomScaleNormal="80" workbookViewId="0">
      <pane xSplit="1" ySplit="1" topLeftCell="E2" activePane="bottomRight" state="frozen"/>
      <selection pane="topRight" activeCell="B1" sqref="B1"/>
      <selection pane="bottomLeft" activeCell="A2" sqref="A2"/>
      <selection pane="bottomRight" activeCell="H2" sqref="H2"/>
    </sheetView>
  </sheetViews>
  <sheetFormatPr defaultRowHeight="13.2" x14ac:dyDescent="0.25"/>
  <cols>
    <col min="1" max="1" width="27.5546875" style="5" bestFit="1" customWidth="1"/>
    <col min="2" max="4" width="12" style="5" bestFit="1" customWidth="1"/>
    <col min="5" max="5" width="12" style="5" customWidth="1"/>
    <col min="6" max="6" width="12" style="5" bestFit="1" customWidth="1"/>
    <col min="7" max="8" width="11" style="5" bestFit="1" customWidth="1"/>
    <col min="9" max="13" width="8.88671875" style="5"/>
    <col min="14" max="17" width="11" style="5" bestFit="1" customWidth="1"/>
    <col min="18" max="18" width="11.109375" style="5" bestFit="1" customWidth="1"/>
    <col min="19" max="22" width="13.33203125" style="5" bestFit="1" customWidth="1"/>
    <col min="23" max="23" width="11.109375" style="5" bestFit="1" customWidth="1"/>
    <col min="24" max="24" width="13.33203125" style="5" bestFit="1" customWidth="1"/>
    <col min="25" max="25" width="10.5546875" style="5" customWidth="1"/>
    <col min="26" max="26" width="12.88671875" style="5" bestFit="1" customWidth="1"/>
    <col min="27" max="27" width="12.5546875" style="5" bestFit="1" customWidth="1"/>
    <col min="28" max="16384" width="8.88671875" style="5"/>
  </cols>
  <sheetData>
    <row r="1" spans="1:27" x14ac:dyDescent="0.25">
      <c r="A1" s="4"/>
      <c r="B1" s="4" t="s">
        <v>39</v>
      </c>
      <c r="C1" s="4" t="s">
        <v>38</v>
      </c>
      <c r="D1" s="4" t="s">
        <v>7</v>
      </c>
      <c r="E1" s="4" t="s">
        <v>37</v>
      </c>
      <c r="F1" s="4" t="s">
        <v>36</v>
      </c>
      <c r="G1" s="4" t="s">
        <v>35</v>
      </c>
      <c r="H1" s="4" t="s">
        <v>8</v>
      </c>
      <c r="I1" s="4" t="s">
        <v>63</v>
      </c>
      <c r="J1" s="4" t="s">
        <v>64</v>
      </c>
      <c r="K1" s="4" t="s">
        <v>65</v>
      </c>
      <c r="L1" s="4" t="s">
        <v>66</v>
      </c>
      <c r="N1" s="4">
        <v>2020</v>
      </c>
      <c r="O1" s="4">
        <f>N1+1</f>
        <v>2021</v>
      </c>
      <c r="P1" s="4">
        <f t="shared" ref="P1:X1" si="0">O1+1</f>
        <v>2022</v>
      </c>
      <c r="Q1" s="4">
        <f t="shared" si="0"/>
        <v>2023</v>
      </c>
      <c r="R1" s="4">
        <f t="shared" si="0"/>
        <v>2024</v>
      </c>
      <c r="S1" s="4">
        <f t="shared" si="0"/>
        <v>2025</v>
      </c>
      <c r="T1" s="4">
        <f t="shared" si="0"/>
        <v>2026</v>
      </c>
      <c r="U1" s="4">
        <f t="shared" si="0"/>
        <v>2027</v>
      </c>
      <c r="V1" s="4">
        <f t="shared" si="0"/>
        <v>2028</v>
      </c>
      <c r="W1" s="4">
        <f t="shared" si="0"/>
        <v>2029</v>
      </c>
      <c r="X1" s="4">
        <f t="shared" si="0"/>
        <v>2030</v>
      </c>
    </row>
    <row r="2" spans="1:27" x14ac:dyDescent="0.25">
      <c r="A2" s="5" t="s">
        <v>9</v>
      </c>
      <c r="B2" s="6">
        <v>32785</v>
      </c>
      <c r="C2" s="6">
        <v>33076</v>
      </c>
      <c r="D2" s="6">
        <v>33722</v>
      </c>
      <c r="E2" s="6">
        <v>33646</v>
      </c>
      <c r="F2" s="6">
        <v>35868</v>
      </c>
      <c r="G2" s="6">
        <v>36589</v>
      </c>
      <c r="H2" s="6">
        <v>35259</v>
      </c>
      <c r="I2" s="6"/>
      <c r="J2" s="6"/>
      <c r="K2" s="6"/>
      <c r="L2" s="6"/>
      <c r="M2" s="6"/>
      <c r="N2" s="6">
        <v>104109</v>
      </c>
      <c r="O2" s="6">
        <v>117373</v>
      </c>
      <c r="P2" s="6">
        <v>133229</v>
      </c>
      <c r="Q2" s="6">
        <f>Q33*Q35</f>
        <v>140869.68314999997</v>
      </c>
      <c r="R2" s="6">
        <f t="shared" ref="R2:X2" si="1">R33*R35</f>
        <v>148652.73314403745</v>
      </c>
      <c r="S2" s="6">
        <f t="shared" si="1"/>
        <v>156709.71128044426</v>
      </c>
      <c r="T2" s="6">
        <f t="shared" si="1"/>
        <v>165203.37763184434</v>
      </c>
      <c r="U2" s="6">
        <f t="shared" si="1"/>
        <v>174157.40069949033</v>
      </c>
      <c r="V2" s="6">
        <f t="shared" si="1"/>
        <v>183596.73181740273</v>
      </c>
      <c r="W2" s="6">
        <f t="shared" si="1"/>
        <v>193547.67468190598</v>
      </c>
      <c r="X2" s="6">
        <f t="shared" si="1"/>
        <v>204037.95864966529</v>
      </c>
      <c r="Z2" s="5" t="s">
        <v>44</v>
      </c>
      <c r="AA2" s="7">
        <v>0.08</v>
      </c>
    </row>
    <row r="3" spans="1:27" x14ac:dyDescent="0.25">
      <c r="A3" s="5" t="s">
        <v>10</v>
      </c>
      <c r="B3" s="6">
        <v>3301</v>
      </c>
      <c r="C3" s="6">
        <v>3568</v>
      </c>
      <c r="D3" s="6">
        <v>3972</v>
      </c>
      <c r="E3" s="6">
        <v>4137</v>
      </c>
      <c r="F3" s="6">
        <v>4022</v>
      </c>
      <c r="G3" s="6">
        <v>4859</v>
      </c>
      <c r="H3" s="6">
        <v>5177</v>
      </c>
      <c r="I3" s="6"/>
      <c r="J3" s="6"/>
      <c r="K3" s="6"/>
      <c r="L3" s="6"/>
      <c r="M3" s="6"/>
      <c r="N3" s="6">
        <v>10384</v>
      </c>
      <c r="O3" s="6">
        <v>12657</v>
      </c>
      <c r="P3" s="6">
        <v>14978</v>
      </c>
      <c r="Q3" s="6">
        <f>P3*1.035</f>
        <v>15502.23</v>
      </c>
      <c r="R3" s="6">
        <f t="shared" ref="R3:X3" si="2">Q3*1.035</f>
        <v>16044.808049999998</v>
      </c>
      <c r="S3" s="6">
        <f t="shared" si="2"/>
        <v>16606.376331749998</v>
      </c>
      <c r="T3" s="6">
        <f t="shared" si="2"/>
        <v>17187.599503361245</v>
      </c>
      <c r="U3" s="6">
        <f t="shared" si="2"/>
        <v>17789.165485978887</v>
      </c>
      <c r="V3" s="6">
        <f t="shared" si="2"/>
        <v>18411.786277988147</v>
      </c>
      <c r="W3" s="6">
        <f t="shared" si="2"/>
        <v>19056.19879771773</v>
      </c>
      <c r="X3" s="6">
        <f t="shared" si="2"/>
        <v>19723.165755637849</v>
      </c>
      <c r="Z3" s="5" t="s">
        <v>45</v>
      </c>
      <c r="AA3" s="8">
        <f>0.4%+1%</f>
        <v>1.4E-2</v>
      </c>
    </row>
    <row r="4" spans="1:27" x14ac:dyDescent="0.25">
      <c r="A4" s="5" t="s">
        <v>11</v>
      </c>
      <c r="B4" s="6">
        <v>1800</v>
      </c>
      <c r="C4" s="6">
        <v>1838</v>
      </c>
      <c r="D4" s="6">
        <v>1931</v>
      </c>
      <c r="E4" s="6">
        <v>1884</v>
      </c>
      <c r="F4" s="6">
        <v>2008</v>
      </c>
      <c r="G4" s="6">
        <v>1929</v>
      </c>
      <c r="H4" s="6">
        <v>2044</v>
      </c>
      <c r="I4" s="6"/>
      <c r="J4" s="6"/>
      <c r="K4" s="6"/>
      <c r="L4" s="6"/>
      <c r="M4" s="6"/>
      <c r="N4" s="6">
        <v>6315</v>
      </c>
      <c r="O4" s="6">
        <v>6913</v>
      </c>
      <c r="P4" s="6">
        <v>7453</v>
      </c>
      <c r="Q4" s="6">
        <f>P4*1.035</f>
        <v>7713.8549999999996</v>
      </c>
      <c r="R4" s="6">
        <f t="shared" ref="R4:X4" si="3">Q4*1.035</f>
        <v>7983.8399249999993</v>
      </c>
      <c r="S4" s="6">
        <f t="shared" si="3"/>
        <v>8263.2743223749985</v>
      </c>
      <c r="T4" s="6">
        <f t="shared" si="3"/>
        <v>8552.4889236581221</v>
      </c>
      <c r="U4" s="6">
        <f t="shared" si="3"/>
        <v>8851.8260359861561</v>
      </c>
      <c r="V4" s="6">
        <f t="shared" si="3"/>
        <v>9161.6399472456706</v>
      </c>
      <c r="W4" s="6">
        <f t="shared" si="3"/>
        <v>9482.297345399269</v>
      </c>
      <c r="X4" s="6">
        <f t="shared" si="3"/>
        <v>9814.1777524882418</v>
      </c>
      <c r="Z4" s="5" t="s">
        <v>46</v>
      </c>
      <c r="AA4" s="9">
        <f>NPV(AA2,Q17:BQ17)</f>
        <v>121169.74073274258</v>
      </c>
    </row>
    <row r="5" spans="1:27" x14ac:dyDescent="0.25">
      <c r="A5" s="4" t="s">
        <v>13</v>
      </c>
      <c r="B5" s="10">
        <f t="shared" ref="B5:G5" si="4">SUM(B2:B4)</f>
        <v>37886</v>
      </c>
      <c r="C5" s="10">
        <f>SUM(C2:C4)</f>
        <v>38482</v>
      </c>
      <c r="D5" s="10">
        <f t="shared" si="4"/>
        <v>39625</v>
      </c>
      <c r="E5" s="10">
        <f t="shared" si="4"/>
        <v>39667</v>
      </c>
      <c r="F5" s="10">
        <f t="shared" si="4"/>
        <v>41898</v>
      </c>
      <c r="G5" s="10">
        <f t="shared" si="4"/>
        <v>43377</v>
      </c>
      <c r="H5" s="10">
        <f>SUM(H2:H4)</f>
        <v>42480</v>
      </c>
      <c r="I5" s="10">
        <f t="shared" ref="I5" si="5">SUM(I2:I4)</f>
        <v>0</v>
      </c>
      <c r="J5" s="6"/>
      <c r="K5" s="6"/>
      <c r="L5" s="6"/>
      <c r="M5" s="6"/>
      <c r="N5" s="6">
        <f t="shared" ref="N5:O5" si="6">SUM(N2:N4)</f>
        <v>120808</v>
      </c>
      <c r="O5" s="6">
        <f t="shared" si="6"/>
        <v>136943</v>
      </c>
      <c r="P5" s="6">
        <f>SUM(P2:P4)</f>
        <v>155660</v>
      </c>
      <c r="Q5" s="6">
        <f t="shared" ref="Q5:X5" si="7">SUM(Q2:Q4)</f>
        <v>164085.76814999999</v>
      </c>
      <c r="R5" s="6">
        <f t="shared" si="7"/>
        <v>172681.38111903745</v>
      </c>
      <c r="S5" s="6">
        <f t="shared" si="7"/>
        <v>181579.36193456923</v>
      </c>
      <c r="T5" s="6">
        <f t="shared" si="7"/>
        <v>190943.46605886371</v>
      </c>
      <c r="U5" s="6">
        <f t="shared" si="7"/>
        <v>200798.39222145537</v>
      </c>
      <c r="V5" s="6">
        <f t="shared" si="7"/>
        <v>211170.15804263655</v>
      </c>
      <c r="W5" s="6">
        <f t="shared" si="7"/>
        <v>222086.17082502297</v>
      </c>
      <c r="X5" s="6">
        <f t="shared" si="7"/>
        <v>233575.30215779139</v>
      </c>
      <c r="Z5" s="5" t="s">
        <v>27</v>
      </c>
      <c r="AA5" s="9">
        <f>H26</f>
        <v>14051</v>
      </c>
    </row>
    <row r="6" spans="1:27" x14ac:dyDescent="0.25">
      <c r="A6" s="5" t="s">
        <v>14</v>
      </c>
      <c r="B6" s="6">
        <f>360-151</f>
        <v>209</v>
      </c>
      <c r="C6" s="6">
        <f>381-231</f>
        <v>150</v>
      </c>
      <c r="D6" s="6">
        <f>371-57</f>
        <v>314</v>
      </c>
      <c r="E6" s="6">
        <f>373-111</f>
        <v>262</v>
      </c>
      <c r="F6" s="6">
        <f>387-113</f>
        <v>274</v>
      </c>
      <c r="G6" s="6">
        <f>416-121</f>
        <v>295</v>
      </c>
      <c r="H6" s="6">
        <f>493-124</f>
        <v>369</v>
      </c>
      <c r="I6" s="6">
        <f t="shared" ref="I6" si="8">493-124</f>
        <v>369</v>
      </c>
      <c r="J6" s="6"/>
      <c r="K6" s="6"/>
      <c r="L6" s="6"/>
      <c r="M6" s="6"/>
      <c r="N6" s="6">
        <f>877+182</f>
        <v>1059</v>
      </c>
      <c r="O6" s="6">
        <f>1378+318</f>
        <v>1696</v>
      </c>
      <c r="P6" s="6">
        <f>1485-550</f>
        <v>935</v>
      </c>
      <c r="Q6" s="6">
        <f>P6*1.05</f>
        <v>981.75</v>
      </c>
      <c r="R6" s="6">
        <f>Q6*1.03</f>
        <v>1011.2025</v>
      </c>
      <c r="S6" s="6">
        <f t="shared" ref="S6:X6" si="9">R6*1.03</f>
        <v>1041.538575</v>
      </c>
      <c r="T6" s="6">
        <f t="shared" si="9"/>
        <v>1072.7847322500002</v>
      </c>
      <c r="U6" s="6">
        <f t="shared" si="9"/>
        <v>1104.9682742175003</v>
      </c>
      <c r="V6" s="6">
        <f t="shared" si="9"/>
        <v>1138.1173224440254</v>
      </c>
      <c r="W6" s="6">
        <f t="shared" si="9"/>
        <v>1172.2608421173461</v>
      </c>
      <c r="X6" s="6">
        <f t="shared" si="9"/>
        <v>1207.4286673808665</v>
      </c>
      <c r="Z6" s="5" t="s">
        <v>6</v>
      </c>
      <c r="AA6" s="9">
        <f>AA4+AA5</f>
        <v>135220.74073274259</v>
      </c>
    </row>
    <row r="7" spans="1:27" x14ac:dyDescent="0.25">
      <c r="A7" s="4" t="s">
        <v>12</v>
      </c>
      <c r="B7" s="10">
        <f t="shared" ref="B7:G7" si="10">B5+B6</f>
        <v>38095</v>
      </c>
      <c r="C7" s="10">
        <f t="shared" si="10"/>
        <v>38632</v>
      </c>
      <c r="D7" s="10">
        <f t="shared" si="10"/>
        <v>39939</v>
      </c>
      <c r="E7" s="10">
        <f t="shared" si="10"/>
        <v>39929</v>
      </c>
      <c r="F7" s="10">
        <f t="shared" si="10"/>
        <v>42172</v>
      </c>
      <c r="G7" s="10">
        <f t="shared" si="10"/>
        <v>43672</v>
      </c>
      <c r="H7" s="10">
        <f>H5+H6</f>
        <v>42849</v>
      </c>
      <c r="I7" s="10">
        <f t="shared" ref="I7" si="11">I5+I6</f>
        <v>369</v>
      </c>
      <c r="J7" s="6"/>
      <c r="K7" s="6"/>
      <c r="L7" s="6"/>
      <c r="M7" s="6"/>
      <c r="N7" s="10">
        <f>N5+N6</f>
        <v>121867</v>
      </c>
      <c r="O7" s="10">
        <f t="shared" ref="O7:P7" si="12">O5+O6</f>
        <v>138639</v>
      </c>
      <c r="P7" s="10">
        <f t="shared" si="12"/>
        <v>156595</v>
      </c>
      <c r="Q7" s="10">
        <f t="shared" ref="Q7" si="13">Q5+Q6</f>
        <v>165067.51814999999</v>
      </c>
      <c r="R7" s="10">
        <f t="shared" ref="R7" si="14">R5+R6</f>
        <v>173692.58361903747</v>
      </c>
      <c r="S7" s="10">
        <f t="shared" ref="S7" si="15">S5+S6</f>
        <v>182620.90050956924</v>
      </c>
      <c r="T7" s="10">
        <f t="shared" ref="T7" si="16">T5+T6</f>
        <v>192016.25079111371</v>
      </c>
      <c r="U7" s="10">
        <f t="shared" ref="U7" si="17">U5+U6</f>
        <v>201903.36049567288</v>
      </c>
      <c r="V7" s="10">
        <f t="shared" ref="V7" si="18">V5+V6</f>
        <v>212308.27536508057</v>
      </c>
      <c r="W7" s="10">
        <f t="shared" ref="W7" si="19">W5+W6</f>
        <v>223258.43166714031</v>
      </c>
      <c r="X7" s="10">
        <f t="shared" ref="X7" si="20">X5+X6</f>
        <v>234782.73082517224</v>
      </c>
      <c r="Z7" s="5" t="s">
        <v>1</v>
      </c>
      <c r="AA7" s="9">
        <f>AA6/H18</f>
        <v>575.50781511984042</v>
      </c>
    </row>
    <row r="8" spans="1:27" x14ac:dyDescent="0.25">
      <c r="A8" s="5" t="s">
        <v>15</v>
      </c>
      <c r="B8" s="6">
        <v>28231</v>
      </c>
      <c r="C8" s="6">
        <v>28795</v>
      </c>
      <c r="D8" s="6">
        <v>29421</v>
      </c>
      <c r="E8" s="6">
        <v>30091</v>
      </c>
      <c r="F8" s="6">
        <v>30786</v>
      </c>
      <c r="G8" s="6">
        <v>31604</v>
      </c>
      <c r="H8" s="6">
        <v>30606</v>
      </c>
      <c r="I8" s="6">
        <v>30606</v>
      </c>
      <c r="J8" s="6"/>
      <c r="K8" s="6"/>
      <c r="L8" s="6"/>
      <c r="M8" s="6"/>
      <c r="N8" s="6">
        <v>88045</v>
      </c>
      <c r="O8" s="6">
        <v>102645</v>
      </c>
      <c r="P8" s="6">
        <v>116487</v>
      </c>
      <c r="Q8" s="6">
        <f>Q2*(1-0.13)</f>
        <v>122556.62434049997</v>
      </c>
      <c r="R8" s="6">
        <f t="shared" ref="R8:X8" si="21">R2*(1-0.13)</f>
        <v>129327.87783531258</v>
      </c>
      <c r="S8" s="6">
        <f t="shared" si="21"/>
        <v>136337.4488139865</v>
      </c>
      <c r="T8" s="6">
        <f t="shared" si="21"/>
        <v>143726.93853970457</v>
      </c>
      <c r="U8" s="6">
        <f t="shared" si="21"/>
        <v>151516.93860855658</v>
      </c>
      <c r="V8" s="6">
        <f t="shared" si="21"/>
        <v>159729.15668114039</v>
      </c>
      <c r="W8" s="6">
        <f t="shared" si="21"/>
        <v>168386.47697325819</v>
      </c>
      <c r="X8" s="6">
        <f t="shared" si="21"/>
        <v>177513.02402520881</v>
      </c>
      <c r="AA8" s="9">
        <f>AA7*0.8</f>
        <v>460.40625209587233</v>
      </c>
    </row>
    <row r="9" spans="1:27" x14ac:dyDescent="0.25">
      <c r="A9" s="5" t="s">
        <v>16</v>
      </c>
      <c r="B9" s="6">
        <v>2883</v>
      </c>
      <c r="C9" s="6">
        <v>3069</v>
      </c>
      <c r="D9" s="6">
        <v>3437</v>
      </c>
      <c r="E9" s="6">
        <v>3646</v>
      </c>
      <c r="F9" s="6">
        <v>3481</v>
      </c>
      <c r="G9" s="6">
        <v>4327</v>
      </c>
      <c r="H9" s="6">
        <v>4648</v>
      </c>
      <c r="I9" s="6">
        <v>4648</v>
      </c>
      <c r="J9" s="6"/>
      <c r="K9" s="6"/>
      <c r="L9" s="6"/>
      <c r="M9" s="6"/>
      <c r="N9" s="6">
        <v>8953</v>
      </c>
      <c r="O9" s="6">
        <v>10895</v>
      </c>
      <c r="P9" s="6">
        <v>13035</v>
      </c>
      <c r="Q9" s="6">
        <f>P9*1.055</f>
        <v>13751.924999999999</v>
      </c>
      <c r="R9" s="6">
        <f t="shared" ref="R9:X9" si="22">Q9*1.055</f>
        <v>14508.280874999999</v>
      </c>
      <c r="S9" s="6">
        <f t="shared" si="22"/>
        <v>15306.236323124998</v>
      </c>
      <c r="T9" s="6">
        <f t="shared" si="22"/>
        <v>16148.079320896872</v>
      </c>
      <c r="U9" s="6">
        <f t="shared" si="22"/>
        <v>17036.223683546199</v>
      </c>
      <c r="V9" s="6">
        <f t="shared" si="22"/>
        <v>17973.21598614124</v>
      </c>
      <c r="W9" s="6">
        <f t="shared" si="22"/>
        <v>18961.742865379008</v>
      </c>
      <c r="X9" s="6">
        <f t="shared" si="22"/>
        <v>20004.638722974854</v>
      </c>
    </row>
    <row r="10" spans="1:27" x14ac:dyDescent="0.25">
      <c r="A10" s="5" t="s">
        <v>17</v>
      </c>
      <c r="B10" s="6">
        <v>4345</v>
      </c>
      <c r="C10" s="6">
        <v>4272</v>
      </c>
      <c r="D10" s="6">
        <v>4516</v>
      </c>
      <c r="E10" s="6">
        <v>4562</v>
      </c>
      <c r="F10" s="6">
        <v>4800</v>
      </c>
      <c r="G10" s="6">
        <v>4818</v>
      </c>
      <c r="H10" s="6">
        <v>5470</v>
      </c>
      <c r="I10" s="6">
        <v>5470</v>
      </c>
      <c r="J10" s="6"/>
      <c r="K10" s="6"/>
      <c r="L10" s="6"/>
      <c r="M10" s="6"/>
      <c r="N10" s="6">
        <v>17450</v>
      </c>
      <c r="O10" s="6">
        <v>15914</v>
      </c>
      <c r="P10" s="6">
        <v>17686</v>
      </c>
      <c r="Q10" s="6">
        <f>P10*1.025</f>
        <v>18128.149999999998</v>
      </c>
      <c r="R10" s="6">
        <f t="shared" ref="R10:X10" si="23">Q10*1.025</f>
        <v>18581.353749999995</v>
      </c>
      <c r="S10" s="6">
        <f t="shared" si="23"/>
        <v>19045.887593749994</v>
      </c>
      <c r="T10" s="6">
        <f t="shared" si="23"/>
        <v>19522.034783593743</v>
      </c>
      <c r="U10" s="6">
        <f t="shared" si="23"/>
        <v>20010.085653183585</v>
      </c>
      <c r="V10" s="6">
        <f t="shared" si="23"/>
        <v>20510.337794513172</v>
      </c>
      <c r="W10" s="6">
        <f t="shared" si="23"/>
        <v>21023.096239375998</v>
      </c>
      <c r="X10" s="6">
        <f t="shared" si="23"/>
        <v>21548.673645360395</v>
      </c>
    </row>
    <row r="11" spans="1:27" x14ac:dyDescent="0.25">
      <c r="A11" s="4" t="s">
        <v>18</v>
      </c>
      <c r="B11" s="10">
        <f t="shared" ref="B11:G11" si="24">B7-B8-B9-B10</f>
        <v>2636</v>
      </c>
      <c r="C11" s="10">
        <f t="shared" si="24"/>
        <v>2496</v>
      </c>
      <c r="D11" s="10">
        <f t="shared" si="24"/>
        <v>2565</v>
      </c>
      <c r="E11" s="10">
        <f t="shared" si="24"/>
        <v>1630</v>
      </c>
      <c r="F11" s="10">
        <f t="shared" si="24"/>
        <v>3105</v>
      </c>
      <c r="G11" s="10">
        <f t="shared" si="24"/>
        <v>2923</v>
      </c>
      <c r="H11" s="10">
        <f>H7-H8-H9-H10</f>
        <v>2125</v>
      </c>
      <c r="I11" s="10">
        <f t="shared" ref="I11" si="25">I7-I8-I9-I10</f>
        <v>-40355</v>
      </c>
      <c r="J11" s="6"/>
      <c r="K11" s="6"/>
      <c r="L11" s="6"/>
      <c r="M11" s="6"/>
      <c r="N11" s="10">
        <f t="shared" ref="N11:P11" si="26">N7-N8-N9-N10</f>
        <v>7419</v>
      </c>
      <c r="O11" s="10">
        <f t="shared" si="26"/>
        <v>9185</v>
      </c>
      <c r="P11" s="10">
        <f t="shared" si="26"/>
        <v>9387</v>
      </c>
      <c r="Q11" s="10">
        <f t="shared" ref="Q11" si="27">Q7-Q8-Q9-Q10</f>
        <v>10630.818809500022</v>
      </c>
      <c r="R11" s="10">
        <f t="shared" ref="R11" si="28">R7-R8-R9-R10</f>
        <v>11275.071158724895</v>
      </c>
      <c r="S11" s="10">
        <f t="shared" ref="S11" si="29">S7-S8-S9-S10</f>
        <v>11931.32777870775</v>
      </c>
      <c r="T11" s="10">
        <f t="shared" ref="T11" si="30">T7-T8-T9-T10</f>
        <v>12619.198146918523</v>
      </c>
      <c r="U11" s="10">
        <f t="shared" ref="U11" si="31">U7-U8-U9-U10</f>
        <v>13340.112550386522</v>
      </c>
      <c r="V11" s="10">
        <f t="shared" ref="V11" si="32">V7-V8-V9-V10</f>
        <v>14095.564903285769</v>
      </c>
      <c r="W11" s="10">
        <f t="shared" ref="W11" si="33">W7-W8-W9-W10</f>
        <v>14887.115589127105</v>
      </c>
      <c r="X11" s="10">
        <f t="shared" ref="X11" si="34">X7-X8-X9-X10</f>
        <v>15716.394431628185</v>
      </c>
    </row>
    <row r="12" spans="1:27" x14ac:dyDescent="0.25">
      <c r="A12" s="5" t="s">
        <v>19</v>
      </c>
      <c r="B12" s="6">
        <v>201</v>
      </c>
      <c r="C12" s="6">
        <v>208</v>
      </c>
      <c r="D12" s="6">
        <v>213</v>
      </c>
      <c r="E12" s="6">
        <v>229</v>
      </c>
      <c r="F12" s="6">
        <v>251</v>
      </c>
      <c r="G12" s="6">
        <v>261</v>
      </c>
      <c r="H12" s="6">
        <v>259</v>
      </c>
      <c r="I12" s="6">
        <v>259</v>
      </c>
      <c r="J12" s="6"/>
      <c r="K12" s="6"/>
      <c r="L12" s="6"/>
      <c r="M12" s="6"/>
      <c r="N12" s="6">
        <v>784</v>
      </c>
      <c r="O12" s="6">
        <v>798</v>
      </c>
      <c r="P12" s="6">
        <v>851</v>
      </c>
      <c r="Q12" s="6">
        <f>P12*1.03</f>
        <v>876.53</v>
      </c>
      <c r="R12" s="6">
        <f>Q12*0.985</f>
        <v>863.38204999999994</v>
      </c>
      <c r="S12" s="6">
        <f t="shared" ref="S12:X12" si="35">R12*0.985</f>
        <v>850.43131924999989</v>
      </c>
      <c r="T12" s="6">
        <f t="shared" si="35"/>
        <v>837.67484946124989</v>
      </c>
      <c r="U12" s="6">
        <f t="shared" si="35"/>
        <v>825.10972671933109</v>
      </c>
      <c r="V12" s="6">
        <f t="shared" si="35"/>
        <v>812.73308081854111</v>
      </c>
      <c r="W12" s="6">
        <f t="shared" si="35"/>
        <v>800.54208460626296</v>
      </c>
      <c r="X12" s="6">
        <f t="shared" si="35"/>
        <v>788.53395333716901</v>
      </c>
    </row>
    <row r="13" spans="1:27" x14ac:dyDescent="0.25">
      <c r="A13" s="5" t="s">
        <v>20</v>
      </c>
      <c r="B13" s="6">
        <v>129</v>
      </c>
      <c r="C13" s="6">
        <v>166</v>
      </c>
      <c r="D13" s="6">
        <v>225</v>
      </c>
      <c r="E13" s="6">
        <v>247</v>
      </c>
      <c r="F13" s="6">
        <v>235</v>
      </c>
      <c r="G13" s="6">
        <v>221</v>
      </c>
      <c r="H13" s="6">
        <v>212</v>
      </c>
      <c r="I13" s="6">
        <v>212</v>
      </c>
      <c r="J13" s="6"/>
      <c r="K13" s="6"/>
      <c r="L13" s="6"/>
      <c r="M13" s="6"/>
      <c r="N13" s="6">
        <v>361</v>
      </c>
      <c r="O13" s="6">
        <v>441</v>
      </c>
      <c r="P13" s="6">
        <v>767</v>
      </c>
      <c r="Q13" s="6">
        <f>P13*1.025</f>
        <v>786.17499999999995</v>
      </c>
      <c r="R13" s="6">
        <f t="shared" ref="R13:X13" si="36">Q13*1.025</f>
        <v>805.82937499999991</v>
      </c>
      <c r="S13" s="6">
        <f t="shared" si="36"/>
        <v>825.97510937499987</v>
      </c>
      <c r="T13" s="6">
        <f t="shared" si="36"/>
        <v>846.62448710937485</v>
      </c>
      <c r="U13" s="6">
        <f t="shared" si="36"/>
        <v>867.79009928710911</v>
      </c>
      <c r="V13" s="6">
        <f t="shared" si="36"/>
        <v>889.48485176928682</v>
      </c>
      <c r="W13" s="6">
        <f t="shared" si="36"/>
        <v>911.72197306351893</v>
      </c>
      <c r="X13" s="6">
        <f t="shared" si="36"/>
        <v>934.51502239010688</v>
      </c>
    </row>
    <row r="14" spans="1:27" x14ac:dyDescent="0.25">
      <c r="A14" s="5" t="s">
        <v>40</v>
      </c>
      <c r="B14" s="6"/>
      <c r="C14" s="6"/>
      <c r="D14" s="6"/>
      <c r="E14" s="6"/>
      <c r="F14" s="6"/>
      <c r="G14" s="6"/>
      <c r="H14" s="6"/>
      <c r="I14" s="6"/>
      <c r="J14" s="6"/>
      <c r="K14" s="6"/>
      <c r="L14" s="6"/>
      <c r="M14" s="6"/>
      <c r="N14" s="6">
        <v>36</v>
      </c>
      <c r="O14" s="6">
        <v>21</v>
      </c>
      <c r="P14" s="6"/>
      <c r="Q14" s="6"/>
      <c r="R14" s="6"/>
      <c r="S14" s="6"/>
      <c r="T14" s="6"/>
      <c r="U14" s="6"/>
      <c r="V14" s="6"/>
      <c r="W14" s="6"/>
      <c r="X14" s="6"/>
    </row>
    <row r="15" spans="1:27" x14ac:dyDescent="0.25">
      <c r="A15" s="4" t="s">
        <v>21</v>
      </c>
      <c r="B15" s="10">
        <f t="shared" ref="B15:G15" si="37">B11-B12-B13</f>
        <v>2306</v>
      </c>
      <c r="C15" s="10">
        <f t="shared" si="37"/>
        <v>2122</v>
      </c>
      <c r="D15" s="10">
        <f t="shared" si="37"/>
        <v>2127</v>
      </c>
      <c r="E15" s="10">
        <f t="shared" si="37"/>
        <v>1154</v>
      </c>
      <c r="F15" s="10">
        <f t="shared" si="37"/>
        <v>2619</v>
      </c>
      <c r="G15" s="10">
        <f t="shared" si="37"/>
        <v>2441</v>
      </c>
      <c r="H15" s="10">
        <f>H11-H12-H13</f>
        <v>1654</v>
      </c>
      <c r="I15" s="10">
        <f t="shared" ref="I15" si="38">I11-I12-I13</f>
        <v>-40826</v>
      </c>
      <c r="J15" s="6"/>
      <c r="K15" s="6"/>
      <c r="L15" s="6"/>
      <c r="M15" s="6"/>
      <c r="N15" s="10">
        <f>N11-N12-N13-N14</f>
        <v>6238</v>
      </c>
      <c r="O15" s="10">
        <f t="shared" ref="O15:P15" si="39">O11-O12-O13-O14</f>
        <v>7925</v>
      </c>
      <c r="P15" s="10">
        <f t="shared" si="39"/>
        <v>7769</v>
      </c>
      <c r="Q15" s="10">
        <f t="shared" ref="Q15" si="40">Q11-Q12-Q13-Q14</f>
        <v>8968.1138095000224</v>
      </c>
      <c r="R15" s="10">
        <f t="shared" ref="R15" si="41">R11-R12-R13-R14</f>
        <v>9605.8597337248957</v>
      </c>
      <c r="S15" s="10">
        <f t="shared" ref="S15" si="42">S11-S12-S13-S14</f>
        <v>10254.92135008275</v>
      </c>
      <c r="T15" s="10">
        <f t="shared" ref="T15" si="43">T11-T12-T13-T14</f>
        <v>10934.898810347899</v>
      </c>
      <c r="U15" s="10">
        <f t="shared" ref="U15" si="44">U11-U12-U13-U14</f>
        <v>11647.212724380082</v>
      </c>
      <c r="V15" s="10">
        <f t="shared" ref="V15" si="45">V11-V12-V13-V14</f>
        <v>12393.346970697941</v>
      </c>
      <c r="W15" s="10">
        <f t="shared" ref="W15" si="46">W11-W12-W13-W14</f>
        <v>13174.851531457323</v>
      </c>
      <c r="X15" s="10">
        <f t="shared" ref="X15" si="47">X11-X12-X13-X14</f>
        <v>13993.345455900908</v>
      </c>
    </row>
    <row r="16" spans="1:27" x14ac:dyDescent="0.25">
      <c r="A16" s="5" t="s">
        <v>22</v>
      </c>
      <c r="B16" s="6">
        <v>527</v>
      </c>
      <c r="C16" s="6">
        <v>488</v>
      </c>
      <c r="D16" s="6">
        <v>529</v>
      </c>
      <c r="E16" s="6">
        <v>193</v>
      </c>
      <c r="F16" s="6">
        <v>615</v>
      </c>
      <c r="G16" s="6">
        <v>585</v>
      </c>
      <c r="H16" s="6">
        <v>354</v>
      </c>
      <c r="I16" s="6">
        <v>354</v>
      </c>
      <c r="J16" s="6"/>
      <c r="K16" s="6"/>
      <c r="L16" s="6"/>
      <c r="M16" s="6"/>
      <c r="N16" s="6">
        <v>1666</v>
      </c>
      <c r="O16" s="6">
        <v>1830</v>
      </c>
      <c r="P16" s="6">
        <v>1750</v>
      </c>
      <c r="Q16" s="6">
        <f>Q15*0.22</f>
        <v>1972.985038090005</v>
      </c>
      <c r="R16" s="6">
        <f t="shared" ref="R16:X16" si="48">R15*0.22</f>
        <v>2113.2891414194769</v>
      </c>
      <c r="S16" s="6">
        <f t="shared" si="48"/>
        <v>2256.0826970182052</v>
      </c>
      <c r="T16" s="6">
        <f t="shared" si="48"/>
        <v>2405.6777382765376</v>
      </c>
      <c r="U16" s="6">
        <f t="shared" si="48"/>
        <v>2562.3867993636181</v>
      </c>
      <c r="V16" s="6">
        <f t="shared" si="48"/>
        <v>2726.5363335535471</v>
      </c>
      <c r="W16" s="6">
        <f t="shared" si="48"/>
        <v>2898.4673369206112</v>
      </c>
      <c r="X16" s="6">
        <f t="shared" si="48"/>
        <v>3078.5360002981997</v>
      </c>
    </row>
    <row r="17" spans="1:69" x14ac:dyDescent="0.25">
      <c r="A17" s="4" t="s">
        <v>23</v>
      </c>
      <c r="B17" s="10">
        <f t="shared" ref="B17:G17" si="49">B15-B16</f>
        <v>1779</v>
      </c>
      <c r="C17" s="10">
        <f t="shared" si="49"/>
        <v>1634</v>
      </c>
      <c r="D17" s="10">
        <f t="shared" si="49"/>
        <v>1598</v>
      </c>
      <c r="E17" s="10">
        <f t="shared" si="49"/>
        <v>961</v>
      </c>
      <c r="F17" s="10">
        <f t="shared" si="49"/>
        <v>2004</v>
      </c>
      <c r="G17" s="10">
        <f t="shared" si="49"/>
        <v>1856</v>
      </c>
      <c r="H17" s="10">
        <f>H15-H16</f>
        <v>1300</v>
      </c>
      <c r="I17" s="10">
        <f t="shared" ref="I17" si="50">I15-I16</f>
        <v>-41180</v>
      </c>
      <c r="J17" s="6"/>
      <c r="K17" s="6"/>
      <c r="L17" s="6"/>
      <c r="M17" s="6"/>
      <c r="N17" s="10">
        <f t="shared" ref="N17:P17" si="51">N15-N16</f>
        <v>4572</v>
      </c>
      <c r="O17" s="10">
        <f t="shared" si="51"/>
        <v>6095</v>
      </c>
      <c r="P17" s="10">
        <f t="shared" si="51"/>
        <v>6019</v>
      </c>
      <c r="Q17" s="10">
        <f t="shared" ref="Q17" si="52">Q15-Q16</f>
        <v>6995.1287714100172</v>
      </c>
      <c r="R17" s="10">
        <f t="shared" ref="R17" si="53">R15-R16</f>
        <v>7492.5705923054193</v>
      </c>
      <c r="S17" s="10">
        <f t="shared" ref="S17" si="54">S15-S16</f>
        <v>7998.8386530645448</v>
      </c>
      <c r="T17" s="10">
        <f t="shared" ref="T17" si="55">T15-T16</f>
        <v>8529.221072071361</v>
      </c>
      <c r="U17" s="10">
        <f t="shared" ref="U17" si="56">U15-U16</f>
        <v>9084.8259250164647</v>
      </c>
      <c r="V17" s="10">
        <f t="shared" ref="V17" si="57">V15-V16</f>
        <v>9666.8106371443937</v>
      </c>
      <c r="W17" s="10">
        <f t="shared" ref="W17" si="58">W15-W16</f>
        <v>10276.384194536713</v>
      </c>
      <c r="X17" s="10">
        <f t="shared" ref="X17" si="59">X15-X16</f>
        <v>10914.809455602708</v>
      </c>
      <c r="Y17" s="10">
        <f>X17+(1+$AA$3)</f>
        <v>10915.823455602707</v>
      </c>
      <c r="Z17" s="10">
        <f t="shared" ref="Z17:BQ17" si="60">Y17+(1+$AA$3)</f>
        <v>10916.837455602707</v>
      </c>
      <c r="AA17" s="10">
        <f t="shared" si="60"/>
        <v>10917.851455602706</v>
      </c>
      <c r="AB17" s="10">
        <f t="shared" si="60"/>
        <v>10918.865455602705</v>
      </c>
      <c r="AC17" s="10">
        <f t="shared" si="60"/>
        <v>10919.879455602704</v>
      </c>
      <c r="AD17" s="10">
        <f t="shared" si="60"/>
        <v>10920.893455602703</v>
      </c>
      <c r="AE17" s="10">
        <f t="shared" si="60"/>
        <v>10921.907455602703</v>
      </c>
      <c r="AF17" s="10">
        <f t="shared" si="60"/>
        <v>10922.921455602702</v>
      </c>
      <c r="AG17" s="10">
        <f t="shared" si="60"/>
        <v>10923.935455602701</v>
      </c>
      <c r="AH17" s="10">
        <f t="shared" si="60"/>
        <v>10924.9494556027</v>
      </c>
      <c r="AI17" s="10">
        <f t="shared" si="60"/>
        <v>10925.963455602699</v>
      </c>
      <c r="AJ17" s="10">
        <f t="shared" si="60"/>
        <v>10926.977455602699</v>
      </c>
      <c r="AK17" s="10">
        <f t="shared" si="60"/>
        <v>10927.991455602698</v>
      </c>
      <c r="AL17" s="10">
        <f t="shared" si="60"/>
        <v>10929.005455602697</v>
      </c>
      <c r="AM17" s="10">
        <f t="shared" si="60"/>
        <v>10930.019455602696</v>
      </c>
      <c r="AN17" s="10">
        <f t="shared" si="60"/>
        <v>10931.033455602696</v>
      </c>
      <c r="AO17" s="10">
        <f t="shared" si="60"/>
        <v>10932.047455602695</v>
      </c>
      <c r="AP17" s="10">
        <f t="shared" si="60"/>
        <v>10933.061455602694</v>
      </c>
      <c r="AQ17" s="10">
        <f t="shared" si="60"/>
        <v>10934.075455602693</v>
      </c>
      <c r="AR17" s="10">
        <f t="shared" si="60"/>
        <v>10935.089455602692</v>
      </c>
      <c r="AS17" s="10">
        <f t="shared" si="60"/>
        <v>10936.103455602692</v>
      </c>
      <c r="AT17" s="10">
        <f t="shared" si="60"/>
        <v>10937.117455602691</v>
      </c>
      <c r="AU17" s="10">
        <f t="shared" si="60"/>
        <v>10938.13145560269</v>
      </c>
      <c r="AV17" s="10">
        <f t="shared" si="60"/>
        <v>10939.145455602689</v>
      </c>
      <c r="AW17" s="10">
        <f t="shared" si="60"/>
        <v>10940.159455602688</v>
      </c>
      <c r="AX17" s="10">
        <f t="shared" si="60"/>
        <v>10941.173455602688</v>
      </c>
      <c r="AY17" s="10">
        <f t="shared" si="60"/>
        <v>10942.187455602687</v>
      </c>
      <c r="AZ17" s="10">
        <f t="shared" si="60"/>
        <v>10943.201455602686</v>
      </c>
      <c r="BA17" s="10">
        <f t="shared" si="60"/>
        <v>10944.215455602685</v>
      </c>
      <c r="BB17" s="10">
        <f t="shared" si="60"/>
        <v>10945.229455602685</v>
      </c>
      <c r="BC17" s="10">
        <f t="shared" si="60"/>
        <v>10946.243455602684</v>
      </c>
      <c r="BD17" s="10">
        <f t="shared" si="60"/>
        <v>10947.257455602683</v>
      </c>
      <c r="BE17" s="10">
        <f t="shared" si="60"/>
        <v>10948.271455602682</v>
      </c>
      <c r="BF17" s="10">
        <f t="shared" si="60"/>
        <v>10949.285455602681</v>
      </c>
      <c r="BG17" s="10">
        <f t="shared" si="60"/>
        <v>10950.299455602681</v>
      </c>
      <c r="BH17" s="10">
        <f t="shared" si="60"/>
        <v>10951.31345560268</v>
      </c>
      <c r="BI17" s="10">
        <f t="shared" si="60"/>
        <v>10952.327455602679</v>
      </c>
      <c r="BJ17" s="10">
        <f t="shared" si="60"/>
        <v>10953.341455602678</v>
      </c>
      <c r="BK17" s="10">
        <f t="shared" si="60"/>
        <v>10954.355455602677</v>
      </c>
      <c r="BL17" s="10">
        <f t="shared" si="60"/>
        <v>10955.369455602677</v>
      </c>
      <c r="BM17" s="10">
        <f t="shared" si="60"/>
        <v>10956.383455602676</v>
      </c>
      <c r="BN17" s="10">
        <f t="shared" si="60"/>
        <v>10957.397455602675</v>
      </c>
      <c r="BO17" s="10">
        <f t="shared" si="60"/>
        <v>10958.411455602674</v>
      </c>
      <c r="BP17" s="10">
        <f t="shared" si="60"/>
        <v>10959.425455602674</v>
      </c>
      <c r="BQ17" s="10">
        <f t="shared" si="60"/>
        <v>10960.439455602673</v>
      </c>
    </row>
    <row r="18" spans="1:69" x14ac:dyDescent="0.25">
      <c r="A18" s="5" t="s">
        <v>24</v>
      </c>
      <c r="E18" s="5">
        <v>237.45699999999999</v>
      </c>
      <c r="F18" s="6">
        <v>237.05500000000001</v>
      </c>
      <c r="G18" s="5">
        <v>235.64699999999999</v>
      </c>
      <c r="H18" s="5">
        <v>234.959</v>
      </c>
      <c r="Q18" s="5">
        <f>H18</f>
        <v>234.959</v>
      </c>
      <c r="R18" s="5">
        <f>Q18*0.98</f>
        <v>230.25981999999999</v>
      </c>
      <c r="S18" s="5">
        <f t="shared" ref="S18:X18" si="61">R18*0.98</f>
        <v>225.65462359999998</v>
      </c>
      <c r="T18" s="5">
        <f t="shared" si="61"/>
        <v>221.14153112799997</v>
      </c>
      <c r="U18" s="5">
        <f t="shared" si="61"/>
        <v>216.71870050543995</v>
      </c>
      <c r="V18" s="5">
        <f t="shared" si="61"/>
        <v>212.38432649533115</v>
      </c>
      <c r="W18" s="5">
        <f t="shared" si="61"/>
        <v>208.13663996542454</v>
      </c>
      <c r="X18" s="5">
        <f t="shared" si="61"/>
        <v>203.97390716611605</v>
      </c>
    </row>
    <row r="19" spans="1:69" x14ac:dyDescent="0.25">
      <c r="A19" s="5" t="s">
        <v>25</v>
      </c>
      <c r="B19" s="9" t="e">
        <f t="shared" ref="B19:G19" si="62">B17/B18</f>
        <v>#DIV/0!</v>
      </c>
      <c r="C19" s="9" t="e">
        <f t="shared" si="62"/>
        <v>#DIV/0!</v>
      </c>
      <c r="D19" s="9" t="e">
        <f t="shared" si="62"/>
        <v>#DIV/0!</v>
      </c>
      <c r="E19" s="9">
        <f t="shared" si="62"/>
        <v>4.0470485182580429</v>
      </c>
      <c r="F19" s="9">
        <f t="shared" si="62"/>
        <v>8.4537343654426191</v>
      </c>
      <c r="G19" s="9">
        <f t="shared" si="62"/>
        <v>7.8761876875156487</v>
      </c>
      <c r="H19" s="9">
        <f>H17/H18</f>
        <v>5.5328802046314465</v>
      </c>
      <c r="N19" s="9" t="e">
        <f t="shared" ref="N19:P19" si="63">N17/N18</f>
        <v>#DIV/0!</v>
      </c>
      <c r="O19" s="9" t="e">
        <f t="shared" si="63"/>
        <v>#DIV/0!</v>
      </c>
      <c r="P19" s="9" t="e">
        <f t="shared" si="63"/>
        <v>#DIV/0!</v>
      </c>
      <c r="Q19" s="9">
        <f t="shared" ref="Q19" si="64">Q17/Q18</f>
        <v>29.771699621678749</v>
      </c>
      <c r="R19" s="9">
        <f t="shared" ref="R19" si="65">R17/R18</f>
        <v>32.539635409709867</v>
      </c>
      <c r="S19" s="9">
        <f t="shared" ref="S19" si="66">S17/S18</f>
        <v>35.447262393539297</v>
      </c>
      <c r="T19" s="9">
        <f t="shared" ref="T19" si="67">T17/T18</f>
        <v>38.569060404734749</v>
      </c>
      <c r="U19" s="9">
        <f t="shared" ref="U19" si="68">U17/U18</f>
        <v>41.919898485125984</v>
      </c>
      <c r="V19" s="9">
        <f t="shared" ref="V19" si="69">V17/V18</f>
        <v>45.515649844137151</v>
      </c>
      <c r="W19" s="9">
        <f t="shared" ref="W19" si="70">W17/W18</f>
        <v>49.373258818071704</v>
      </c>
      <c r="X19" s="9">
        <f t="shared" ref="X19" si="71">X17/X18</f>
        <v>53.51081227616875</v>
      </c>
    </row>
    <row r="21" spans="1:69" x14ac:dyDescent="0.25">
      <c r="A21" s="4" t="s">
        <v>26</v>
      </c>
      <c r="B21" s="11">
        <f>(B2-B8)/B2</f>
        <v>0.13890498703675461</v>
      </c>
      <c r="C21" s="11">
        <f t="shared" ref="C21:G21" si="72">(C2-C8)/C2</f>
        <v>0.12942919337283831</v>
      </c>
      <c r="D21" s="11">
        <f t="shared" si="72"/>
        <v>0.12754285036474705</v>
      </c>
      <c r="E21" s="11">
        <f t="shared" si="72"/>
        <v>0.10565891933662248</v>
      </c>
      <c r="F21" s="11">
        <f t="shared" si="72"/>
        <v>0.14168618266978922</v>
      </c>
      <c r="G21" s="11">
        <f t="shared" si="72"/>
        <v>0.1362431331821039</v>
      </c>
      <c r="H21" s="11">
        <f>(H2-H8)/H2</f>
        <v>0.13196630647494256</v>
      </c>
      <c r="N21" s="11">
        <f>(N2-N8)/N2</f>
        <v>0.15429982038056267</v>
      </c>
      <c r="O21" s="11">
        <f>(O2-O8)/O2</f>
        <v>0.12548030637369753</v>
      </c>
      <c r="P21" s="11">
        <f>(P2-P8)/P2</f>
        <v>0.12566333155694331</v>
      </c>
      <c r="Q21" s="11">
        <f t="shared" ref="Q21:X21" si="73">(Q2-Q8)/Q2</f>
        <v>0.13000000000000003</v>
      </c>
      <c r="R21" s="11">
        <f t="shared" si="73"/>
        <v>0.13000000000000003</v>
      </c>
      <c r="S21" s="11">
        <f t="shared" si="73"/>
        <v>0.13000000000000003</v>
      </c>
      <c r="T21" s="11">
        <f t="shared" si="73"/>
        <v>0.13000000000000003</v>
      </c>
      <c r="U21" s="11">
        <f t="shared" si="73"/>
        <v>0.13000000000000006</v>
      </c>
      <c r="V21" s="11">
        <f t="shared" si="73"/>
        <v>0.12999999999999992</v>
      </c>
      <c r="W21" s="11">
        <f t="shared" si="73"/>
        <v>0.13000000000000003</v>
      </c>
      <c r="X21" s="11">
        <f t="shared" si="73"/>
        <v>0.12999999999999998</v>
      </c>
      <c r="Y21" s="12" t="s">
        <v>62</v>
      </c>
    </row>
    <row r="23" spans="1:69" x14ac:dyDescent="0.25">
      <c r="A23" s="5" t="s">
        <v>28</v>
      </c>
      <c r="B23" s="13"/>
      <c r="C23" s="13"/>
      <c r="D23" s="13"/>
      <c r="E23" s="13"/>
      <c r="F23" s="13">
        <f t="shared" ref="F23:G23" si="74">F5/B5-1</f>
        <v>0.10589663728026188</v>
      </c>
      <c r="G23" s="13">
        <f t="shared" si="74"/>
        <v>0.12720232836131173</v>
      </c>
      <c r="H23" s="13">
        <f>H5/D5-1</f>
        <v>7.205047318611979E-2</v>
      </c>
      <c r="N23" s="13"/>
      <c r="O23" s="13">
        <f>O5/N5-1</f>
        <v>0.13355903582544193</v>
      </c>
      <c r="P23" s="13">
        <f t="shared" ref="P23:X23" si="75">P5/O5-1</f>
        <v>0.1366773036956983</v>
      </c>
      <c r="Q23" s="13">
        <f t="shared" si="75"/>
        <v>5.412930842862651E-2</v>
      </c>
      <c r="R23" s="13">
        <f t="shared" si="75"/>
        <v>5.2384878139947633E-2</v>
      </c>
      <c r="S23" s="13">
        <f t="shared" si="75"/>
        <v>5.1528316242722028E-2</v>
      </c>
      <c r="T23" s="13">
        <f t="shared" si="75"/>
        <v>5.1570310769506689E-2</v>
      </c>
      <c r="U23" s="13">
        <f t="shared" si="75"/>
        <v>5.1611748576689154E-2</v>
      </c>
      <c r="V23" s="13">
        <f t="shared" si="75"/>
        <v>5.1652633800685077E-2</v>
      </c>
      <c r="W23" s="13">
        <f t="shared" si="75"/>
        <v>5.1692970652521764E-2</v>
      </c>
      <c r="X23" s="13">
        <f t="shared" si="75"/>
        <v>5.1732763413803395E-2</v>
      </c>
    </row>
    <row r="24" spans="1:69" x14ac:dyDescent="0.25">
      <c r="A24" s="5" t="s">
        <v>42</v>
      </c>
      <c r="B24" s="13">
        <f>B17/B7</f>
        <v>4.6699041869011679E-2</v>
      </c>
      <c r="C24" s="13">
        <f t="shared" ref="C24:H24" si="76">C17/C7</f>
        <v>4.2296541727065644E-2</v>
      </c>
      <c r="D24" s="13">
        <f t="shared" si="76"/>
        <v>4.0011016800620948E-2</v>
      </c>
      <c r="E24" s="13">
        <f t="shared" si="76"/>
        <v>2.4067720203360964E-2</v>
      </c>
      <c r="F24" s="13">
        <f t="shared" si="76"/>
        <v>4.7519681305131366E-2</v>
      </c>
      <c r="G24" s="13">
        <f t="shared" si="76"/>
        <v>4.2498626122000366E-2</v>
      </c>
      <c r="H24" s="13">
        <f t="shared" si="76"/>
        <v>3.0339097761908095E-2</v>
      </c>
      <c r="N24" s="13">
        <f t="shared" ref="N24:P24" si="77">N17/N7</f>
        <v>3.7516308762831609E-2</v>
      </c>
      <c r="O24" s="13">
        <f t="shared" si="77"/>
        <v>4.3963098406653252E-2</v>
      </c>
      <c r="P24" s="13">
        <f t="shared" si="77"/>
        <v>3.8436731696414317E-2</v>
      </c>
      <c r="Q24" s="13">
        <f t="shared" ref="Q24:X24" si="78">Q17/Q7</f>
        <v>4.2377378964730122E-2</v>
      </c>
      <c r="R24" s="13">
        <f t="shared" si="78"/>
        <v>4.3136963226587645E-2</v>
      </c>
      <c r="S24" s="13">
        <f t="shared" si="78"/>
        <v>4.3800236614458102E-2</v>
      </c>
      <c r="T24" s="13">
        <f t="shared" si="78"/>
        <v>4.4419266790861035E-2</v>
      </c>
      <c r="U24" s="13">
        <f t="shared" si="78"/>
        <v>4.4995912414301627E-2</v>
      </c>
      <c r="V24" s="13">
        <f t="shared" si="78"/>
        <v>4.5531954044285658E-2</v>
      </c>
      <c r="W24" s="13">
        <f t="shared" si="78"/>
        <v>4.6029097838768053E-2</v>
      </c>
      <c r="X24" s="13">
        <f t="shared" si="78"/>
        <v>4.6488979054129291E-2</v>
      </c>
    </row>
    <row r="26" spans="1:69" x14ac:dyDescent="0.25">
      <c r="A26" s="5" t="s">
        <v>27</v>
      </c>
      <c r="B26" s="6"/>
      <c r="C26" s="6"/>
      <c r="D26" s="6">
        <f>7387+25952+953-265-1500-22349</f>
        <v>10178</v>
      </c>
      <c r="E26" s="6"/>
      <c r="F26" s="6"/>
      <c r="G26" s="6"/>
      <c r="H26" s="6">
        <f>10919+27811+165-799-24045</f>
        <v>14051</v>
      </c>
    </row>
    <row r="27" spans="1:69" x14ac:dyDescent="0.25">
      <c r="B27" s="6"/>
      <c r="C27" s="6"/>
      <c r="D27" s="6"/>
      <c r="E27" s="6"/>
      <c r="F27" s="6"/>
      <c r="G27" s="6"/>
      <c r="H27" s="6"/>
    </row>
    <row r="28" spans="1:69" x14ac:dyDescent="0.25">
      <c r="A28" s="5" t="s">
        <v>29</v>
      </c>
      <c r="B28" s="6">
        <v>2541</v>
      </c>
      <c r="C28" s="6">
        <v>4993</v>
      </c>
      <c r="D28" s="6">
        <v>9917</v>
      </c>
      <c r="E28" s="6">
        <v>8399</v>
      </c>
      <c r="F28" s="6">
        <v>6469</v>
      </c>
      <c r="G28" s="6">
        <v>8419</v>
      </c>
      <c r="H28" s="6">
        <v>11032</v>
      </c>
      <c r="N28" s="6">
        <v>10688</v>
      </c>
      <c r="O28" s="6">
        <v>8364</v>
      </c>
      <c r="P28" s="6">
        <v>8399</v>
      </c>
    </row>
    <row r="29" spans="1:69" x14ac:dyDescent="0.25">
      <c r="A29" s="5" t="s">
        <v>30</v>
      </c>
      <c r="B29" s="6">
        <v>254</v>
      </c>
      <c r="C29" s="6">
        <v>549</v>
      </c>
      <c r="D29" s="6">
        <v>854</v>
      </c>
      <c r="E29" s="6">
        <v>1152</v>
      </c>
      <c r="F29" s="6">
        <v>301</v>
      </c>
      <c r="G29" s="6">
        <v>651</v>
      </c>
      <c r="H29" s="6">
        <v>970</v>
      </c>
      <c r="N29" s="6">
        <v>1021</v>
      </c>
      <c r="O29" s="6">
        <v>1087</v>
      </c>
      <c r="P29" s="6">
        <v>1152</v>
      </c>
    </row>
    <row r="30" spans="1:69" x14ac:dyDescent="0.25">
      <c r="A30" s="4" t="s">
        <v>31</v>
      </c>
      <c r="B30" s="10">
        <f t="shared" ref="B30:G30" si="79">B28-B29</f>
        <v>2287</v>
      </c>
      <c r="C30" s="10">
        <f t="shared" si="79"/>
        <v>4444</v>
      </c>
      <c r="D30" s="10">
        <f t="shared" si="79"/>
        <v>9063</v>
      </c>
      <c r="E30" s="10">
        <f t="shared" si="79"/>
        <v>7247</v>
      </c>
      <c r="F30" s="10">
        <f t="shared" si="79"/>
        <v>6168</v>
      </c>
      <c r="G30" s="10">
        <f t="shared" si="79"/>
        <v>7768</v>
      </c>
      <c r="H30" s="10">
        <f>H28-H29</f>
        <v>10062</v>
      </c>
      <c r="N30" s="10">
        <f t="shared" ref="N30:P30" si="80">N28-N29</f>
        <v>9667</v>
      </c>
      <c r="O30" s="10">
        <f t="shared" si="80"/>
        <v>7277</v>
      </c>
      <c r="P30" s="10">
        <f t="shared" si="80"/>
        <v>7247</v>
      </c>
      <c r="Q30" s="10">
        <f t="shared" ref="Q30" si="81">Q28-Q29</f>
        <v>0</v>
      </c>
      <c r="R30" s="10">
        <f t="shared" ref="R30" si="82">R28-R29</f>
        <v>0</v>
      </c>
      <c r="S30" s="10">
        <f t="shared" ref="S30" si="83">S28-S29</f>
        <v>0</v>
      </c>
      <c r="T30" s="10">
        <f t="shared" ref="T30" si="84">T28-T29</f>
        <v>0</v>
      </c>
      <c r="U30" s="10">
        <f t="shared" ref="U30" si="85">U28-U29</f>
        <v>0</v>
      </c>
      <c r="V30" s="10">
        <f t="shared" ref="V30" si="86">V28-V29</f>
        <v>0</v>
      </c>
      <c r="W30" s="10">
        <f t="shared" ref="W30" si="87">W28-W29</f>
        <v>0</v>
      </c>
      <c r="X30" s="10">
        <f t="shared" ref="X30" si="88">X28-X29</f>
        <v>0</v>
      </c>
    </row>
    <row r="31" spans="1:69" x14ac:dyDescent="0.25">
      <c r="A31" s="5" t="s">
        <v>32</v>
      </c>
      <c r="B31" s="6">
        <v>309</v>
      </c>
      <c r="C31" s="6">
        <v>618</v>
      </c>
      <c r="D31" s="6">
        <v>924</v>
      </c>
      <c r="E31" s="6">
        <v>1229</v>
      </c>
      <c r="F31" s="6">
        <v>351</v>
      </c>
      <c r="G31" s="6">
        <v>701</v>
      </c>
      <c r="H31" s="6">
        <v>1049</v>
      </c>
      <c r="N31" s="6">
        <v>954</v>
      </c>
      <c r="O31" s="6">
        <v>1104</v>
      </c>
      <c r="P31" s="6">
        <v>1229</v>
      </c>
    </row>
    <row r="32" spans="1:69" x14ac:dyDescent="0.25">
      <c r="B32" s="6"/>
      <c r="C32" s="6"/>
      <c r="D32" s="6"/>
      <c r="E32" s="6"/>
      <c r="F32" s="6"/>
      <c r="G32" s="6"/>
      <c r="H32" s="6"/>
    </row>
    <row r="33" spans="1:25" x14ac:dyDescent="0.25">
      <c r="A33" s="5" t="s">
        <v>33</v>
      </c>
      <c r="B33" s="14">
        <v>46.774999999999999</v>
      </c>
      <c r="C33" s="14">
        <v>47.051000000000002</v>
      </c>
      <c r="D33" s="14">
        <v>47.283000000000001</v>
      </c>
      <c r="E33" s="14">
        <v>47.5</v>
      </c>
      <c r="F33" s="14">
        <v>48.124000000000002</v>
      </c>
      <c r="G33" s="14">
        <v>47.988999999999997</v>
      </c>
      <c r="H33" s="14">
        <v>47.325000000000003</v>
      </c>
      <c r="N33" s="14">
        <v>42.924999999999997</v>
      </c>
      <c r="O33" s="14">
        <v>45.374000000000002</v>
      </c>
      <c r="P33" s="14">
        <v>47.530999999999999</v>
      </c>
      <c r="Q33" s="14">
        <f>P33*1.007</f>
        <v>47.863716999999994</v>
      </c>
      <c r="R33" s="14">
        <f>Q33*1.005</f>
        <v>48.103035584999986</v>
      </c>
      <c r="S33" s="14">
        <f t="shared" ref="S33:X33" si="89">R33*1.004</f>
        <v>48.295447727339983</v>
      </c>
      <c r="T33" s="14">
        <f t="shared" si="89"/>
        <v>48.48862951824934</v>
      </c>
      <c r="U33" s="14">
        <f t="shared" si="89"/>
        <v>48.682584036322339</v>
      </c>
      <c r="V33" s="14">
        <f t="shared" si="89"/>
        <v>48.87731437246763</v>
      </c>
      <c r="W33" s="14">
        <f t="shared" si="89"/>
        <v>49.072823629957504</v>
      </c>
      <c r="X33" s="14">
        <f t="shared" si="89"/>
        <v>49.269114924477336</v>
      </c>
    </row>
    <row r="34" spans="1:25" x14ac:dyDescent="0.25">
      <c r="A34" s="5" t="s">
        <v>41</v>
      </c>
      <c r="B34" s="13"/>
      <c r="C34" s="13">
        <f t="shared" ref="C34:D34" si="90">C33/B33-1</f>
        <v>5.9005879208979817E-3</v>
      </c>
      <c r="D34" s="13">
        <f t="shared" si="90"/>
        <v>4.9308197487831773E-3</v>
      </c>
      <c r="E34" s="13">
        <f t="shared" ref="E34" si="91">E33/D33-1</f>
        <v>4.5893873062199386E-3</v>
      </c>
      <c r="F34" s="13">
        <f t="shared" ref="F34" si="92">F33/E33-1</f>
        <v>1.3136842105263113E-2</v>
      </c>
      <c r="G34" s="13">
        <f t="shared" ref="G34:H34" si="93">G33/F33-1</f>
        <v>-2.8052530961683031E-3</v>
      </c>
      <c r="H34" s="13">
        <f t="shared" si="93"/>
        <v>-1.383650419887883E-2</v>
      </c>
      <c r="N34" s="6"/>
      <c r="O34" s="15">
        <f>O33/N33-1</f>
        <v>5.7052999417589012E-2</v>
      </c>
      <c r="P34" s="15">
        <f t="shared" ref="P34" si="94">P33/O33-1</f>
        <v>4.7538237757305923E-2</v>
      </c>
      <c r="Q34" s="15">
        <f t="shared" ref="Q34" si="95">Q33/P33-1</f>
        <v>6.9999999999998952E-3</v>
      </c>
      <c r="R34" s="15">
        <f t="shared" ref="R34" si="96">R33/Q33-1</f>
        <v>4.9999999999998934E-3</v>
      </c>
      <c r="S34" s="15">
        <f t="shared" ref="S34" si="97">S33/R33-1</f>
        <v>4.0000000000000036E-3</v>
      </c>
      <c r="T34" s="15">
        <f t="shared" ref="T34" si="98">T33/S33-1</f>
        <v>4.0000000000000036E-3</v>
      </c>
      <c r="U34" s="15">
        <f t="shared" ref="U34" si="99">U33/T33-1</f>
        <v>4.0000000000000036E-3</v>
      </c>
      <c r="V34" s="15">
        <f t="shared" ref="V34" si="100">V33/U33-1</f>
        <v>4.0000000000000036E-3</v>
      </c>
      <c r="W34" s="15">
        <f t="shared" ref="W34" si="101">W33/V33-1</f>
        <v>4.0000000000000036E-3</v>
      </c>
      <c r="X34" s="15">
        <f t="shared" ref="X34" si="102">X33/W33-1</f>
        <v>4.0000000000000036E-3</v>
      </c>
      <c r="Y34" s="5" t="s">
        <v>60</v>
      </c>
    </row>
    <row r="35" spans="1:25" x14ac:dyDescent="0.25">
      <c r="A35" s="5" t="s">
        <v>34</v>
      </c>
      <c r="B35" s="9">
        <f t="shared" ref="B35:C35" si="103">B2/B33</f>
        <v>700.90860502405133</v>
      </c>
      <c r="C35" s="9">
        <f t="shared" si="103"/>
        <v>702.9818707360098</v>
      </c>
      <c r="D35" s="9">
        <f>D2/D33</f>
        <v>713.19501723663893</v>
      </c>
      <c r="E35" s="9">
        <f t="shared" ref="E35:H35" si="104">E2/E33</f>
        <v>708.33684210526314</v>
      </c>
      <c r="F35" s="9">
        <f t="shared" si="104"/>
        <v>745.32457817305294</v>
      </c>
      <c r="G35" s="9">
        <f t="shared" si="104"/>
        <v>762.4455604409344</v>
      </c>
      <c r="H35" s="9">
        <f t="shared" si="104"/>
        <v>745.03961965134704</v>
      </c>
      <c r="I35" s="9"/>
      <c r="J35" s="9"/>
      <c r="K35" s="9"/>
      <c r="L35" s="9"/>
      <c r="M35" s="9"/>
      <c r="N35" s="9">
        <f t="shared" ref="N35" si="105">N2/N33</f>
        <v>2425.3698311007574</v>
      </c>
      <c r="O35" s="9">
        <f t="shared" ref="O35" si="106">O2/O33</f>
        <v>2586.7897915105564</v>
      </c>
      <c r="P35" s="9">
        <f>P2/P33</f>
        <v>2802.9917317119352</v>
      </c>
      <c r="Q35" s="9">
        <f>P35*1.05</f>
        <v>2943.1413182975321</v>
      </c>
      <c r="R35" s="9">
        <f t="shared" ref="R35:X35" si="107">Q35*1.05</f>
        <v>3090.2983842124086</v>
      </c>
      <c r="S35" s="9">
        <f t="shared" si="107"/>
        <v>3244.8133034230291</v>
      </c>
      <c r="T35" s="9">
        <f t="shared" si="107"/>
        <v>3407.0539685941808</v>
      </c>
      <c r="U35" s="9">
        <f t="shared" si="107"/>
        <v>3577.4066670238899</v>
      </c>
      <c r="V35" s="9">
        <f t="shared" si="107"/>
        <v>3756.2770003750848</v>
      </c>
      <c r="W35" s="9">
        <f t="shared" si="107"/>
        <v>3944.090850393839</v>
      </c>
      <c r="X35" s="9">
        <f t="shared" si="107"/>
        <v>4141.295392913531</v>
      </c>
    </row>
    <row r="36" spans="1:25" x14ac:dyDescent="0.25">
      <c r="A36" s="5" t="s">
        <v>43</v>
      </c>
      <c r="B36" s="13"/>
      <c r="C36" s="13">
        <f>C35/B35-1</f>
        <v>2.9579686953440376E-3</v>
      </c>
      <c r="D36" s="13">
        <f t="shared" ref="D36:H36" si="108">D35/C35-1</f>
        <v>1.4528321320628201E-2</v>
      </c>
      <c r="E36" s="13">
        <f t="shared" si="108"/>
        <v>-6.8118467094727686E-3</v>
      </c>
      <c r="F36" s="13">
        <f t="shared" si="108"/>
        <v>5.2217721667360717E-2</v>
      </c>
      <c r="G36" s="13">
        <f t="shared" si="108"/>
        <v>2.2971176275775829E-2</v>
      </c>
      <c r="H36" s="13">
        <f t="shared" si="108"/>
        <v>-2.2829093239812748E-2</v>
      </c>
      <c r="I36" s="13"/>
      <c r="J36" s="13"/>
      <c r="K36" s="13"/>
      <c r="L36" s="13"/>
      <c r="M36" s="13"/>
      <c r="N36" s="13" t="e">
        <f>N35/J35-1</f>
        <v>#DIV/0!</v>
      </c>
      <c r="O36" s="13">
        <f t="shared" ref="O36:X36" si="109">O35/N35-1</f>
        <v>6.6554782012992364E-2</v>
      </c>
      <c r="P36" s="13">
        <f t="shared" si="109"/>
        <v>8.3579245948364411E-2</v>
      </c>
      <c r="Q36" s="13">
        <f t="shared" si="109"/>
        <v>5.0000000000000044E-2</v>
      </c>
      <c r="R36" s="13">
        <f t="shared" si="109"/>
        <v>5.0000000000000044E-2</v>
      </c>
      <c r="S36" s="13">
        <f t="shared" si="109"/>
        <v>5.0000000000000044E-2</v>
      </c>
      <c r="T36" s="13">
        <f t="shared" si="109"/>
        <v>5.0000000000000044E-2</v>
      </c>
      <c r="U36" s="13">
        <f t="shared" si="109"/>
        <v>5.0000000000000044E-2</v>
      </c>
      <c r="V36" s="13">
        <f t="shared" si="109"/>
        <v>5.0000000000000044E-2</v>
      </c>
      <c r="W36" s="13">
        <f t="shared" si="109"/>
        <v>5.0000000000000044E-2</v>
      </c>
      <c r="X36" s="13">
        <f t="shared" si="109"/>
        <v>5.0000000000000044E-2</v>
      </c>
      <c r="Y36" s="5" t="s">
        <v>61</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Cadal Duarte Morais</dc:creator>
  <cp:lastModifiedBy>Alexandre Duarte Morais</cp:lastModifiedBy>
  <dcterms:created xsi:type="dcterms:W3CDTF">2023-12-22T20:26:19Z</dcterms:created>
  <dcterms:modified xsi:type="dcterms:W3CDTF">2024-10-28T16:22:15Z</dcterms:modified>
</cp:coreProperties>
</file>