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xa\OneDrive - ISEG\Desktop\Models\"/>
    </mc:Choice>
  </mc:AlternateContent>
  <xr:revisionPtr revIDLastSave="0" documentId="13_ncr:1_{2DF48E61-8431-4960-8E55-FAAED06C6F10}" xr6:coauthVersionLast="47" xr6:coauthVersionMax="47" xr10:uidLastSave="{00000000-0000-0000-0000-000000000000}"/>
  <bookViews>
    <workbookView xWindow="-108" yWindow="-108" windowWidth="23256" windowHeight="12456" activeTab="1" xr2:uid="{1AC720E5-A997-4950-B4CF-52A33C5CEF00}"/>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4" i="2" l="1"/>
  <c r="R24" i="2" s="1"/>
  <c r="S24" i="2" s="1"/>
  <c r="T24" i="2" s="1"/>
  <c r="U24" i="2" s="1"/>
  <c r="P24" i="2"/>
  <c r="Q20" i="2"/>
  <c r="P20" i="2"/>
  <c r="R17" i="2"/>
  <c r="S17" i="2" s="1"/>
  <c r="T17" i="2" s="1"/>
  <c r="U17" i="2" s="1"/>
  <c r="Q17" i="2"/>
  <c r="R16" i="2"/>
  <c r="S16" i="2" s="1"/>
  <c r="T16" i="2" s="1"/>
  <c r="U16" i="2" s="1"/>
  <c r="Q16" i="2"/>
  <c r="P16" i="2"/>
  <c r="U15" i="2"/>
  <c r="T15" i="2"/>
  <c r="S15" i="2"/>
  <c r="R15" i="2"/>
  <c r="Q15" i="2"/>
  <c r="Q4" i="2"/>
  <c r="R4" i="2" s="1"/>
  <c r="S4" i="2" s="1"/>
  <c r="T4" i="2" s="1"/>
  <c r="U4" i="2" s="1"/>
  <c r="P4" i="2"/>
  <c r="Q3" i="2"/>
  <c r="R3" i="2" s="1"/>
  <c r="S3" i="2" s="1"/>
  <c r="T3" i="2" s="1"/>
  <c r="U3" i="2" s="1"/>
  <c r="P3" i="2"/>
  <c r="L3" i="1" a="1"/>
  <c r="L3" i="1" s="1"/>
  <c r="L5" i="1" s="1"/>
  <c r="L8" i="1" s="1"/>
  <c r="L10" i="1" s="1"/>
  <c r="L11" i="1" s="1"/>
  <c r="P14" i="2"/>
  <c r="J44" i="2"/>
  <c r="J37" i="2"/>
  <c r="O36" i="2"/>
  <c r="O35" i="2"/>
  <c r="O54" i="2"/>
  <c r="O53" i="2"/>
  <c r="O52" i="2"/>
  <c r="O51" i="2"/>
  <c r="O10" i="2"/>
  <c r="O9" i="2"/>
  <c r="O8" i="2"/>
  <c r="O7" i="2"/>
  <c r="O6" i="2"/>
  <c r="O48" i="2"/>
  <c r="J54" i="2"/>
  <c r="I54" i="2"/>
  <c r="H54" i="2"/>
  <c r="G54" i="2"/>
  <c r="J53" i="2"/>
  <c r="I53" i="2"/>
  <c r="H53" i="2"/>
  <c r="G53" i="2"/>
  <c r="J52" i="2"/>
  <c r="I52" i="2"/>
  <c r="H52" i="2"/>
  <c r="G52" i="2"/>
  <c r="I51" i="2"/>
  <c r="H51" i="2"/>
  <c r="G51" i="2"/>
  <c r="J51" i="2"/>
  <c r="O22" i="2"/>
  <c r="O20" i="2"/>
  <c r="O17" i="2"/>
  <c r="O16" i="2"/>
  <c r="O15" i="2"/>
  <c r="O12" i="2"/>
  <c r="O4" i="2"/>
  <c r="O3" i="2"/>
  <c r="J36" i="2"/>
  <c r="J35" i="2"/>
  <c r="J18" i="2"/>
  <c r="J14" i="2"/>
  <c r="J27" i="2"/>
  <c r="J28" i="2"/>
  <c r="N7" i="2"/>
  <c r="N10" i="2"/>
  <c r="N9" i="2"/>
  <c r="N8" i="2"/>
  <c r="N6" i="2"/>
  <c r="M49" i="2"/>
  <c r="M48" i="2"/>
  <c r="L48" i="2"/>
  <c r="L49" i="2" s="1"/>
  <c r="N48" i="2"/>
  <c r="L20" i="2"/>
  <c r="L35" i="2"/>
  <c r="L36" i="2" s="1"/>
  <c r="M28" i="2"/>
  <c r="M27" i="2"/>
  <c r="L18" i="2"/>
  <c r="L14" i="2"/>
  <c r="P17" i="2"/>
  <c r="C44" i="2"/>
  <c r="I42" i="2"/>
  <c r="O27" i="2"/>
  <c r="M35" i="2"/>
  <c r="M36" i="2" s="1"/>
  <c r="N35" i="2"/>
  <c r="N36" i="2" s="1"/>
  <c r="N49" i="2" s="1"/>
  <c r="N28" i="2"/>
  <c r="N27" i="2"/>
  <c r="N20" i="2"/>
  <c r="M20" i="2"/>
  <c r="N18" i="2"/>
  <c r="M18" i="2"/>
  <c r="N14" i="2"/>
  <c r="N44" i="2" s="1"/>
  <c r="M14" i="2"/>
  <c r="M44" i="2" s="1"/>
  <c r="N2" i="2"/>
  <c r="O2" i="2" s="1"/>
  <c r="P2" i="2" s="1"/>
  <c r="Q2" i="2" s="1"/>
  <c r="R2" i="2" s="1"/>
  <c r="S2" i="2" s="1"/>
  <c r="T2" i="2" s="1"/>
  <c r="U2" i="2" s="1"/>
  <c r="F35" i="2"/>
  <c r="F36" i="2" s="1"/>
  <c r="H28" i="2"/>
  <c r="G28" i="2"/>
  <c r="H27" i="2"/>
  <c r="G27" i="2"/>
  <c r="I28" i="2"/>
  <c r="I27" i="2"/>
  <c r="C35" i="2"/>
  <c r="C36" i="2" s="1"/>
  <c r="G35" i="2"/>
  <c r="G36" i="2" s="1"/>
  <c r="C14" i="2"/>
  <c r="D35" i="2"/>
  <c r="D36" i="2" s="1"/>
  <c r="H35" i="2"/>
  <c r="H36" i="2" s="1"/>
  <c r="I37" i="2" s="1"/>
  <c r="D14" i="2"/>
  <c r="D44" i="2" s="1"/>
  <c r="E35" i="2"/>
  <c r="E36" i="2"/>
  <c r="I36" i="2"/>
  <c r="I35" i="2"/>
  <c r="H18" i="2"/>
  <c r="G18" i="2"/>
  <c r="F18" i="2"/>
  <c r="E18" i="2"/>
  <c r="D18" i="2"/>
  <c r="C18" i="2"/>
  <c r="I18" i="2"/>
  <c r="H14" i="2"/>
  <c r="H44" i="2" s="1"/>
  <c r="G14" i="2"/>
  <c r="G44" i="2" s="1"/>
  <c r="F14" i="2"/>
  <c r="F44" i="2" s="1"/>
  <c r="E14" i="2"/>
  <c r="E44" i="2" s="1"/>
  <c r="I14" i="2"/>
  <c r="I29" i="2" s="1"/>
  <c r="P15" i="2" l="1"/>
  <c r="O49" i="2"/>
  <c r="J19" i="2"/>
  <c r="J21" i="2" s="1"/>
  <c r="J23" i="2" s="1"/>
  <c r="J25" i="2" s="1"/>
  <c r="O14" i="2"/>
  <c r="M19" i="2"/>
  <c r="M31" i="2" s="1"/>
  <c r="M29" i="2"/>
  <c r="G29" i="2"/>
  <c r="J29" i="2"/>
  <c r="N29" i="2"/>
  <c r="F19" i="2"/>
  <c r="F21" i="2" s="1"/>
  <c r="F23" i="2" s="1"/>
  <c r="G19" i="2"/>
  <c r="I44" i="2"/>
  <c r="H19" i="2"/>
  <c r="X12" i="2"/>
  <c r="N19" i="2"/>
  <c r="N31" i="2" s="1"/>
  <c r="O28" i="2"/>
  <c r="H29" i="2"/>
  <c r="D19" i="2"/>
  <c r="L44" i="2"/>
  <c r="E19" i="2"/>
  <c r="E31" i="2" s="1"/>
  <c r="L19" i="2"/>
  <c r="M21" i="2"/>
  <c r="M23" i="2" s="1"/>
  <c r="F31" i="2"/>
  <c r="I19" i="2"/>
  <c r="C19" i="2"/>
  <c r="J31" i="2" l="1"/>
  <c r="J32" i="2"/>
  <c r="F32" i="2"/>
  <c r="F25" i="2"/>
  <c r="Q14" i="2"/>
  <c r="P27" i="2"/>
  <c r="D21" i="2"/>
  <c r="D23" i="2" s="1"/>
  <c r="D31" i="2"/>
  <c r="O29" i="2"/>
  <c r="C21" i="2"/>
  <c r="C23" i="2" s="1"/>
  <c r="C31" i="2"/>
  <c r="H21" i="2"/>
  <c r="H23" i="2" s="1"/>
  <c r="H31" i="2"/>
  <c r="N21" i="2"/>
  <c r="N23" i="2" s="1"/>
  <c r="G21" i="2"/>
  <c r="G23" i="2" s="1"/>
  <c r="G31" i="2"/>
  <c r="P28" i="2"/>
  <c r="E21" i="2"/>
  <c r="E23" i="2" s="1"/>
  <c r="L21" i="2"/>
  <c r="L23" i="2" s="1"/>
  <c r="L31" i="2"/>
  <c r="M25" i="2"/>
  <c r="M32" i="2"/>
  <c r="P29" i="2"/>
  <c r="I31" i="2"/>
  <c r="I21" i="2"/>
  <c r="I23" i="2" s="1"/>
  <c r="N25" i="2" l="1"/>
  <c r="N32" i="2"/>
  <c r="H25" i="2"/>
  <c r="H32" i="2"/>
  <c r="C32" i="2"/>
  <c r="C25" i="2"/>
  <c r="D25" i="2"/>
  <c r="D32" i="2"/>
  <c r="Q28" i="2"/>
  <c r="G32" i="2"/>
  <c r="G25" i="2"/>
  <c r="O44" i="2"/>
  <c r="O18" i="2"/>
  <c r="O19" i="2" s="1"/>
  <c r="R14" i="2"/>
  <c r="Q27" i="2"/>
  <c r="E25" i="2"/>
  <c r="E32" i="2"/>
  <c r="L32" i="2"/>
  <c r="L25" i="2"/>
  <c r="P44" i="2"/>
  <c r="P18" i="2"/>
  <c r="P19" i="2" s="1"/>
  <c r="I32" i="2"/>
  <c r="I25" i="2"/>
  <c r="Q29" i="2" l="1"/>
  <c r="O21" i="2"/>
  <c r="O31" i="2"/>
  <c r="R27" i="2"/>
  <c r="S14" i="2"/>
  <c r="R28" i="2"/>
  <c r="P21" i="2"/>
  <c r="P22" i="2" s="1"/>
  <c r="P23" i="2" s="1"/>
  <c r="P31" i="2"/>
  <c r="S28" i="2" l="1"/>
  <c r="R29" i="2"/>
  <c r="T14" i="2"/>
  <c r="S27" i="2"/>
  <c r="O23" i="2"/>
  <c r="Q44" i="2"/>
  <c r="Q18" i="2"/>
  <c r="Q19" i="2" s="1"/>
  <c r="P32" i="2"/>
  <c r="P25" i="2"/>
  <c r="Q31" i="2" l="1"/>
  <c r="S29" i="2"/>
  <c r="O32" i="2"/>
  <c r="O25" i="2"/>
  <c r="O42" i="2"/>
  <c r="P42" i="2" s="1"/>
  <c r="Q21" i="2" s="1"/>
  <c r="Q22" i="2" s="1"/>
  <c r="Q23" i="2" s="1"/>
  <c r="T27" i="2"/>
  <c r="R44" i="2"/>
  <c r="R18" i="2"/>
  <c r="R19" i="2" s="1"/>
  <c r="U28" i="2"/>
  <c r="T28" i="2"/>
  <c r="Q42" i="2" l="1"/>
  <c r="R20" i="2" s="1"/>
  <c r="U14" i="2"/>
  <c r="T29" i="2"/>
  <c r="R31" i="2"/>
  <c r="R21" i="2"/>
  <c r="R22" i="2" s="1"/>
  <c r="R23" i="2" s="1"/>
  <c r="U27" i="2"/>
  <c r="S44" i="2"/>
  <c r="S18" i="2"/>
  <c r="S19" i="2" s="1"/>
  <c r="Q25" i="2"/>
  <c r="Q32" i="2"/>
  <c r="S31" i="2" l="1"/>
  <c r="U29" i="2"/>
  <c r="R32" i="2"/>
  <c r="R25" i="2"/>
  <c r="R42" i="2"/>
  <c r="S20" i="2" s="1"/>
  <c r="S21" i="2" s="1"/>
  <c r="S22" i="2" s="1"/>
  <c r="S23" i="2" s="1"/>
  <c r="T44" i="2"/>
  <c r="T18" i="2"/>
  <c r="T19" i="2" s="1"/>
  <c r="S42" i="2" l="1"/>
  <c r="T20" i="2" s="1"/>
  <c r="T21" i="2" s="1"/>
  <c r="T22" i="2" s="1"/>
  <c r="T23" i="2" s="1"/>
  <c r="T42" i="2" s="1"/>
  <c r="U20" i="2" s="1"/>
  <c r="T31" i="2"/>
  <c r="U44" i="2"/>
  <c r="U18" i="2"/>
  <c r="U19" i="2" s="1"/>
  <c r="S25" i="2"/>
  <c r="S32" i="2"/>
  <c r="U31" i="2" l="1"/>
  <c r="U21" i="2"/>
  <c r="U22" i="2" s="1"/>
  <c r="U23" i="2" s="1"/>
  <c r="T25" i="2"/>
  <c r="T32" i="2"/>
  <c r="V23" i="2" l="1"/>
  <c r="W23" i="2" s="1"/>
  <c r="X23" i="2" s="1"/>
  <c r="Y23" i="2" s="1"/>
  <c r="Z23" i="2" s="1"/>
  <c r="AA23" i="2" s="1"/>
  <c r="AB23" i="2" s="1"/>
  <c r="AC23" i="2" s="1"/>
  <c r="AD23" i="2" s="1"/>
  <c r="AE23" i="2" s="1"/>
  <c r="AF23" i="2" s="1"/>
  <c r="AG23" i="2" s="1"/>
  <c r="AH23" i="2" s="1"/>
  <c r="AI23" i="2" s="1"/>
  <c r="AJ23" i="2" s="1"/>
  <c r="AK23" i="2" s="1"/>
  <c r="AL23" i="2" s="1"/>
  <c r="AM23" i="2" s="1"/>
  <c r="AN23" i="2" s="1"/>
  <c r="AO23" i="2" s="1"/>
  <c r="AP23" i="2" s="1"/>
  <c r="AQ23" i="2" s="1"/>
  <c r="AR23" i="2" s="1"/>
  <c r="AS23" i="2" s="1"/>
  <c r="AT23" i="2" s="1"/>
  <c r="AU23" i="2" s="1"/>
  <c r="AV23" i="2" s="1"/>
  <c r="AW23" i="2" s="1"/>
  <c r="AX23" i="2" s="1"/>
  <c r="AY23" i="2" s="1"/>
  <c r="AZ23" i="2" s="1"/>
  <c r="BA23" i="2" s="1"/>
  <c r="BB23" i="2" s="1"/>
  <c r="U32" i="2"/>
  <c r="U25" i="2"/>
  <c r="U42" i="2"/>
  <c r="X8" i="2" l="1"/>
  <c r="X9" i="2" s="1"/>
  <c r="X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<sst xmlns="http://schemas.openxmlformats.org/spreadsheetml/2006/main" count="81" uniqueCount="68">
  <si>
    <t>Ticket</t>
  </si>
  <si>
    <t>Price</t>
  </si>
  <si>
    <t>Shares</t>
  </si>
  <si>
    <t>MC</t>
  </si>
  <si>
    <t>Cash</t>
  </si>
  <si>
    <t xml:space="preserve">Debt </t>
  </si>
  <si>
    <t>EV</t>
  </si>
  <si>
    <t>Employees</t>
  </si>
  <si>
    <t>Number of Games</t>
  </si>
  <si>
    <t>Europe</t>
  </si>
  <si>
    <t>Asia</t>
  </si>
  <si>
    <t>NA</t>
  </si>
  <si>
    <t>LatAm</t>
  </si>
  <si>
    <t>Other</t>
  </si>
  <si>
    <t>Q1 2023</t>
  </si>
  <si>
    <t>Q2 2023</t>
  </si>
  <si>
    <t>Q3 2023</t>
  </si>
  <si>
    <t>Q4 2023</t>
  </si>
  <si>
    <t>Q1 2024</t>
  </si>
  <si>
    <t>Q2 2024</t>
  </si>
  <si>
    <t>Q3 2024</t>
  </si>
  <si>
    <t>Q4 2024</t>
  </si>
  <si>
    <t>Revenue</t>
  </si>
  <si>
    <t>% Regulated Market</t>
  </si>
  <si>
    <t>Total RM ver</t>
  </si>
  <si>
    <t>main</t>
  </si>
  <si>
    <t>Live</t>
  </si>
  <si>
    <t>RNG</t>
  </si>
  <si>
    <t>Other Revenues</t>
  </si>
  <si>
    <t>Personnel Expenses</t>
  </si>
  <si>
    <t>D&amp;A</t>
  </si>
  <si>
    <t>Other Opex</t>
  </si>
  <si>
    <t>Operating Income</t>
  </si>
  <si>
    <t>Total Opex</t>
  </si>
  <si>
    <t>Pretax Income</t>
  </si>
  <si>
    <t>Taxes</t>
  </si>
  <si>
    <t>Net Income</t>
  </si>
  <si>
    <t>Net Financials</t>
  </si>
  <si>
    <t>EPS</t>
  </si>
  <si>
    <t>Revenue y/y</t>
  </si>
  <si>
    <t>Operating Margin</t>
  </si>
  <si>
    <t>Net Margin</t>
  </si>
  <si>
    <t>EUR</t>
  </si>
  <si>
    <t>(EUR)</t>
  </si>
  <si>
    <t>CFFO</t>
  </si>
  <si>
    <t>CAPEX</t>
  </si>
  <si>
    <t>FCF</t>
  </si>
  <si>
    <t>IPO</t>
  </si>
  <si>
    <t>Founded</t>
  </si>
  <si>
    <t>Founder</t>
  </si>
  <si>
    <t>CEO</t>
  </si>
  <si>
    <t>HQ</t>
  </si>
  <si>
    <t>Stockholm, SE</t>
  </si>
  <si>
    <t>Martin Carlesund</t>
  </si>
  <si>
    <t>Management Shares</t>
  </si>
  <si>
    <t>Net Cash</t>
  </si>
  <si>
    <t>Personnel Expenses %</t>
  </si>
  <si>
    <t>Discount</t>
  </si>
  <si>
    <t>Maturity</t>
  </si>
  <si>
    <t>ROIC</t>
  </si>
  <si>
    <t>NPV</t>
  </si>
  <si>
    <t>Upside</t>
  </si>
  <si>
    <t>Dividend</t>
  </si>
  <si>
    <t>Buybacks</t>
  </si>
  <si>
    <t xml:space="preserve">Total </t>
  </si>
  <si>
    <t>% FCF</t>
  </si>
  <si>
    <t>EV/FCF</t>
  </si>
  <si>
    <t>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</si>
</sst>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quot;€&quot;;[Red]\-#,##0.00\ &quot;€&quot;"/>
    <numFmt numFmtId="165" formatCode="_-* #,##0.00\ [$kr-143B]_-;\-* #,##0.00\ [$kr-143B]_-;_-* &quot;-&quot;??\ [$kr-143B]_-;_-@_-"/>
    <numFmt numFmtId="166" formatCode="_-* #,##0.00\ [$€-816]_-;\-* #,##0.00\ [$€-816]_-;_-* &quot;-&quot;??\ [$€-816]_-;_-@_-"/>
    <numFmt numFmtId="167" formatCode="_-* #,##0\ [$kr-41D]_-;\-* #,##0\ [$kr-41D]_-;_-* &quot;-&quot;\ [$kr-41D]_-;_-@_-"/>
    <numFmt numFmtId="168" formatCode="0.0%"/>
    <numFmt numFmtId="169" formatCode="0.0\x"/>
  </numFmts>
  <fonts count="5"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165" fontId="1" fillId="0" borderId="0" xfId="0" applyNumberFormat="1" applyFont="1"/>
    <xf numFmtId="0" fontId="2" fillId="0" borderId="0" xfId="0" applyFont="1"/>
    <xf numFmtId="9" fontId="1" fillId="0" borderId="0" xfId="0" applyNumberFormat="1" applyFont="1"/>
    <xf numFmtId="3" fontId="1" fillId="0" borderId="0" xfId="0" applyNumberFormat="1" applyFont="1"/>
    <xf numFmtId="3" fontId="2" fillId="0" borderId="0" xfId="0" applyNumberFormat="1" applyFont="1"/>
    <xf numFmtId="0" fontId="4" fillId="0" borderId="0" xfId="1" applyFont="1"/>
    <xf numFmtId="166" fontId="1" fillId="0" borderId="0" xfId="0" applyNumberFormat="1" applyFont="1"/>
    <xf numFmtId="9" fontId="2" fillId="0" borderId="0" xfId="0" applyNumberFormat="1" applyFont="1"/>
    <xf numFmtId="164"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65" fontId="2" fillId="0" borderId="0" xfId="0" applyNumberFormat="1" applyFont="1"/>
    <xf numFmtId="0" fontId="1" fillId="0" borderId="0" xfId="0" applyFont="1" applyAlignment="1">
      <alignment horizontal="right"/>
    </xf>
    <xf numFmtId="10" fontId="1"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14</xdr:col>
      <xdr:colOff>598170</xdr:colOff>
      <xdr:row>0</xdr:row>
      <xdr:rowOff>49530</xdr:rowOff>
    </xdr:from>
    <xdr:to>
      <xdr:col>14</xdr:col>
      <xdr:colOff>605790</xdr:colOff>
      <xdr:row>52</xdr:row>
      <xdr:rowOff>11430</xdr:rowOff>
    </xdr:to>
    <xdr:cxnSp macro="">
      <xdr:nvCxnSpPr>
        <xdr:cNvPr id="3" name="Straight Connector 2">
          <a:extLst>
            <a:ext uri="{FF2B5EF4-FFF2-40B4-BE49-F238E27FC236}">
              <a16:creationId xmlns:a16="http://schemas.microsoft.com/office/drawing/2014/main" id="{D3C87D38-A2A4-6DED-F736-4FD0776A125B}"/>
            </a:ext>
          </a:extLst>
        </xdr:cNvPr>
        <xdr:cNvCxnSpPr/>
      </xdr:nvCxnSpPr>
      <xdr:spPr>
        <a:xfrm>
          <a:off x="9561195" y="49530"/>
          <a:ext cx="7620" cy="88773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198120</xdr:colOff>
      <xdr:row>0</xdr:row>
      <xdr:rowOff>0</xdr:rowOff>
    </xdr:from>
    <xdr:to>
      <xdr:col>10</xdr:col>
      <xdr:colOff>198120</xdr:colOff>
      <xdr:row>52</xdr:row>
      <xdr:rowOff>129540</xdr:rowOff>
    </xdr:to>
    <xdr:cxnSp macro="">
      <xdr:nvCxnSpPr>
        <xdr:cNvPr id="5" name="Straight Connector 4">
          <a:extLst>
            <a:ext uri="{FF2B5EF4-FFF2-40B4-BE49-F238E27FC236}">
              <a16:creationId xmlns:a16="http://schemas.microsoft.com/office/drawing/2014/main" id="{CF7CBFA9-A844-45E7-8C75-664340F5A62D}"/>
            </a:ext>
          </a:extLst>
        </xdr:cNvPr>
        <xdr:cNvCxnSpPr/>
      </xdr:nvCxnSpPr>
      <xdr:spPr>
        <a:xfrm>
          <a:off x="6722745" y="0"/>
          <a:ext cx="0" cy="90449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https://www.bing.com/financeapi/forcetrigger?t=amwitc&amp;q=XSTO%3aEVO&amp;form=skydnc</v>
    <v>Learn more on Bing</v>
  </rv>
  <rv s="1">
    <v>en-GB</v>
    <v>amwitc</v>
    <v>268435456</v>
    <v>1</v>
    <v>Powered by Refinitiv</v>
    <v>0</v>
    <v>Evolution AB (publ) (XSTO:EVO)</v>
    <v>2</v>
    <v>3</v>
    <v>Finance</v>
    <v>4</v>
    <v>1709</v>
    <v>168.4</v>
    <v>1.0306999999999999</v>
    <v>4.2</v>
    <v>5.1480000000000007E-3</v>
    <v>SEK</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14676</v>
    <v>NASDAQ Stockholm</v>
    <v>XSTO</v>
    <v>XSTO</v>
    <v>Vasagatan 16, STOCKHOLM, STOCKHOLM, 11120 SE</v>
    <v>822.2</v>
    <v>Hotels &amp; Entertainment Services</v>
    <v>Stock</v>
    <v>45713.417812500003</v>
    <v>0</v>
    <v>810.6</v>
    <v>173463200000</v>
    <v>Evolution AB (publ)</v>
    <v>Evolution AB (publ)</v>
    <v>811.2</v>
    <v>11.98</v>
    <v>815.8</v>
    <v>820</v>
    <v>211833200</v>
    <v>EVO</v>
    <v>Evolution AB (publ) (XSTO:EVO)</v>
    <v>155851</v>
    <v>724370</v>
    <v>2014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 Nordic</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 #,##0.00 [$kr-smj-SE]_-;-* #,##0.00 [$kr-smj-SE]_-;_-* "-"?? [$kr-smj-SE]_-;_-@_-</rpv>
    </rSty>
    <rSty dxfid="5">
      <rpv i="0">#,##0.00</rpv>
    </rSty>
    <rSty>
      <rpv i="1">1</rpv>
    </rSty>
    <rSty dxfid="4">
      <rpv i="0">#,##0</rpv>
    </rSty>
    <rSty dxfid="3"/>
    <rSty dxfid="1">
      <rpv i="0">_-* #,##0 [$kr-smj-SE]_-;-* #,##0 [$kr-smj-SE]_-;_-* "-" [$kr-smj-SE]_-;_-@_-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08A90-AAD6-4E4A-85A6-BE3C8EED8F48}">
  <dimension ref="G2:M13"/>
  <sheetViews>
    <sheetView topLeftCell="G1" workbookViewId="0">
      <selection activeCell="J16" sqref="J16"/>
    </sheetView>
  </sheetViews>
  <sheetFormatPr defaultColWidth="8.88671875" defaultRowHeight="13.2" x14ac:dyDescent="0.25"/>
  <cols>
    <col min="1" max="6" width="8.88671875" style="1"/>
    <col min="7" max="7" width="15.6640625" style="1" bestFit="1" customWidth="1"/>
    <col min="8" max="8" width="17.88671875" style="1" bestFit="1" customWidth="1"/>
    <col min="9" max="9" width="14.88671875" style="1" bestFit="1" customWidth="1"/>
    <col min="10" max="10" width="8.88671875" style="1"/>
    <col min="11" max="11" width="17.33203125" style="1" bestFit="1" customWidth="1"/>
    <col min="12" max="12" width="10" style="1" bestFit="1" customWidth="1"/>
    <col min="13" max="16384" width="8.88671875" style="1"/>
  </cols>
  <sheetData>
    <row r="2" spans="7:13" x14ac:dyDescent="0.25">
      <c r="H2" s="3" t="s">
        <v>48</v>
      </c>
      <c r="I2" s="15">
        <v>2006</v>
      </c>
      <c r="K2" s="1" t="s">
        <v>0</v>
      </c>
      <c r="L2" s="1" t="e" vm="1">
        <v>#VALUE!</v>
      </c>
    </row>
    <row r="3" spans="7:13" x14ac:dyDescent="0.25">
      <c r="H3" s="3" t="s">
        <v>49</v>
      </c>
      <c r="I3" s="15"/>
      <c r="K3" s="1" t="s">
        <v>1</v>
      </c>
      <c r="L3" s="2" cm="1">
        <f t="array" aca="1" ref="L3" ca="1">+_FV(L2,"Price")</f>
        <v>820</v>
      </c>
    </row>
    <row r="4" spans="7:13" x14ac:dyDescent="0.25">
      <c r="H4" s="3" t="s">
        <v>50</v>
      </c>
      <c r="I4" s="15" t="s">
        <v>53</v>
      </c>
      <c r="K4" s="1" t="s">
        <v>2</v>
      </c>
      <c r="L4" s="1">
        <v>206.562243</v>
      </c>
    </row>
    <row r="5" spans="7:13" x14ac:dyDescent="0.25">
      <c r="H5" s="3" t="s">
        <v>51</v>
      </c>
      <c r="I5" s="15" t="s">
        <v>52</v>
      </c>
      <c r="K5" s="1" t="s">
        <v>3</v>
      </c>
      <c r="L5" s="5">
        <f ca="1">+(L3*L4)/11.61</f>
        <v>14589.236801033592</v>
      </c>
      <c r="M5" s="1" t="s">
        <v>42</v>
      </c>
    </row>
    <row r="6" spans="7:13" x14ac:dyDescent="0.25">
      <c r="H6" s="3" t="s">
        <v>47</v>
      </c>
      <c r="I6" s="15">
        <v>2016</v>
      </c>
      <c r="K6" s="1" t="s">
        <v>4</v>
      </c>
      <c r="L6" s="5">
        <v>801.47400000000005</v>
      </c>
      <c r="M6" s="1" t="s">
        <v>42</v>
      </c>
    </row>
    <row r="7" spans="7:13" x14ac:dyDescent="0.25">
      <c r="H7" s="3" t="s">
        <v>7</v>
      </c>
      <c r="I7" s="15">
        <v>20772</v>
      </c>
      <c r="K7" s="1" t="s">
        <v>5</v>
      </c>
      <c r="L7" s="5"/>
      <c r="M7" s="1" t="s">
        <v>42</v>
      </c>
    </row>
    <row r="8" spans="7:13" x14ac:dyDescent="0.25">
      <c r="I8" s="15"/>
      <c r="K8" s="1" t="s">
        <v>6</v>
      </c>
      <c r="L8" s="5">
        <f ca="1">+L5-L6+L7</f>
        <v>13787.762801033592</v>
      </c>
      <c r="M8" s="1" t="s">
        <v>42</v>
      </c>
    </row>
    <row r="9" spans="7:13" x14ac:dyDescent="0.25">
      <c r="H9" s="1" t="s">
        <v>54</v>
      </c>
      <c r="I9" s="16">
        <v>0.2049</v>
      </c>
    </row>
    <row r="10" spans="7:13" x14ac:dyDescent="0.25">
      <c r="I10" s="4"/>
      <c r="K10" s="14" t="s">
        <v>66</v>
      </c>
      <c r="L10" s="13">
        <f ca="1">+L8/model!O36</f>
        <v>11.272155792762732</v>
      </c>
    </row>
    <row r="11" spans="7:13" x14ac:dyDescent="0.25">
      <c r="L11" s="12">
        <f ca="1">1/L10</f>
        <v>8.8714174855713784E-2</v>
      </c>
    </row>
    <row r="13" spans="7:13" x14ac:dyDescent="0.25">
      <c r="G13" s="1" t="s">
        <v>8</v>
      </c>
      <c r="H13" s="1">
        <v>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4AC73-2A5F-4462-96F1-C6AAE58D2A74}">
  <dimension ref="A1:BB58"/>
  <sheetViews>
    <sheetView tabSelected="1" zoomScale="80" zoomScaleNormal="80" workbookViewId="0">
      <pane xSplit="2" ySplit="2" topLeftCell="F3" activePane="bottomRight" state="frozen"/>
      <selection pane="topRight" activeCell="C1" sqref="C1"/>
      <selection pane="bottomLeft" activeCell="A3" sqref="A3"/>
      <selection pane="bottomRight" activeCell="X15" sqref="X15"/>
    </sheetView>
  </sheetViews>
  <sheetFormatPr defaultColWidth="8.88671875" defaultRowHeight="13.2" x14ac:dyDescent="0.25"/>
  <cols>
    <col min="1" max="1" width="5" style="1" bestFit="1" customWidth="1"/>
    <col min="2" max="2" width="19.88671875" style="1" bestFit="1" customWidth="1"/>
    <col min="3" max="3" width="8" style="1" bestFit="1" customWidth="1"/>
    <col min="4" max="23" width="8.88671875" style="1"/>
    <col min="24" max="24" width="11.44140625" style="1" bestFit="1" customWidth="1"/>
    <col min="25" max="16384" width="8.88671875" style="1"/>
  </cols>
  <sheetData>
    <row r="1" spans="1:24" x14ac:dyDescent="0.25">
      <c r="A1" s="7" t="s">
        <v>25</v>
      </c>
    </row>
    <row r="2" spans="1:24" x14ac:dyDescent="0.25">
      <c r="B2" s="1" t="s">
        <v>43</v>
      </c>
      <c r="C2" s="3" t="s">
        <v>14</v>
      </c>
      <c r="D2" s="3" t="s">
        <v>15</v>
      </c>
      <c r="E2" s="3" t="s">
        <v>16</v>
      </c>
      <c r="F2" s="3" t="s">
        <v>17</v>
      </c>
      <c r="G2" s="3" t="s">
        <v>18</v>
      </c>
      <c r="H2" s="3" t="s">
        <v>19</v>
      </c>
      <c r="I2" s="3" t="s">
        <v>20</v>
      </c>
      <c r="J2" s="3" t="s">
        <v>21</v>
      </c>
      <c r="L2" s="3">
        <v>2021</v>
      </c>
      <c r="M2" s="3">
        <v>2022</v>
      </c>
      <c r="N2" s="3">
        <f>+M2+1</f>
        <v>2023</v>
      </c>
      <c r="O2" s="3">
        <f t="shared" ref="O2:U2" si="0">+N2+1</f>
        <v>2024</v>
      </c>
      <c r="P2" s="3">
        <f t="shared" si="0"/>
        <v>2025</v>
      </c>
      <c r="Q2" s="3">
        <f t="shared" si="0"/>
        <v>2026</v>
      </c>
      <c r="R2" s="3">
        <f t="shared" si="0"/>
        <v>2027</v>
      </c>
      <c r="S2" s="3">
        <f t="shared" si="0"/>
        <v>2028</v>
      </c>
      <c r="T2" s="3">
        <f t="shared" si="0"/>
        <v>2029</v>
      </c>
      <c r="U2" s="3">
        <f t="shared" si="0"/>
        <v>2030</v>
      </c>
    </row>
    <row r="3" spans="1:24" x14ac:dyDescent="0.25">
      <c r="B3" s="1" t="s">
        <v>26</v>
      </c>
      <c r="C3" s="5">
        <v>360.1</v>
      </c>
      <c r="D3" s="5">
        <v>371.8</v>
      </c>
      <c r="E3" s="5">
        <v>385.8</v>
      </c>
      <c r="F3" s="5">
        <v>405.6</v>
      </c>
      <c r="G3" s="5">
        <v>431.3</v>
      </c>
      <c r="H3" s="5">
        <v>438.1</v>
      </c>
      <c r="I3" s="5">
        <v>446.9</v>
      </c>
      <c r="J3" s="5">
        <v>459.4</v>
      </c>
      <c r="L3" s="5">
        <v>839.23800000000006</v>
      </c>
      <c r="M3" s="5">
        <v>1188.308</v>
      </c>
      <c r="N3" s="5">
        <v>1523.2739999999999</v>
      </c>
      <c r="O3" s="5">
        <f>+SUM(G3:J3)</f>
        <v>1775.7000000000003</v>
      </c>
      <c r="P3" s="5">
        <f>+O3*1</f>
        <v>1775.7000000000003</v>
      </c>
      <c r="Q3" s="5">
        <f t="shared" ref="Q3:U3" si="1">+P3*1</f>
        <v>1775.7000000000003</v>
      </c>
      <c r="R3" s="5">
        <f t="shared" si="1"/>
        <v>1775.7000000000003</v>
      </c>
      <c r="S3" s="5">
        <f t="shared" si="1"/>
        <v>1775.7000000000003</v>
      </c>
      <c r="T3" s="5">
        <f t="shared" si="1"/>
        <v>1775.7000000000003</v>
      </c>
      <c r="U3" s="5">
        <f t="shared" si="1"/>
        <v>1775.7000000000003</v>
      </c>
    </row>
    <row r="4" spans="1:24" x14ac:dyDescent="0.25">
      <c r="B4" s="1" t="s">
        <v>27</v>
      </c>
      <c r="C4" s="5">
        <v>69.5</v>
      </c>
      <c r="D4" s="5">
        <v>69.275000000000006</v>
      </c>
      <c r="E4" s="5">
        <v>66.8</v>
      </c>
      <c r="F4" s="5">
        <v>69.8</v>
      </c>
      <c r="G4" s="5">
        <v>70.099999999999994</v>
      </c>
      <c r="H4" s="5">
        <v>70.3</v>
      </c>
      <c r="I4" s="5">
        <v>72.5</v>
      </c>
      <c r="J4" s="5">
        <v>74.400000000000006</v>
      </c>
      <c r="L4" s="5">
        <v>229.53899999999999</v>
      </c>
      <c r="M4" s="5">
        <v>268.42899999999997</v>
      </c>
      <c r="N4" s="5">
        <v>275.327</v>
      </c>
      <c r="O4" s="5">
        <f t="shared" ref="O4" si="2">+SUM(G4:J4)</f>
        <v>287.29999999999995</v>
      </c>
      <c r="P4" s="5">
        <f>+O4*1</f>
        <v>287.29999999999995</v>
      </c>
      <c r="Q4" s="5">
        <f t="shared" ref="Q4:U4" si="3">+P4*1</f>
        <v>287.29999999999995</v>
      </c>
      <c r="R4" s="5">
        <f t="shared" si="3"/>
        <v>287.29999999999995</v>
      </c>
      <c r="S4" s="5">
        <f t="shared" si="3"/>
        <v>287.29999999999995</v>
      </c>
      <c r="T4" s="5">
        <f t="shared" si="3"/>
        <v>287.29999999999995</v>
      </c>
      <c r="U4" s="5">
        <f t="shared" si="3"/>
        <v>287.29999999999995</v>
      </c>
    </row>
    <row r="5" spans="1:24" x14ac:dyDescent="0.25">
      <c r="C5" s="3"/>
      <c r="D5" s="3"/>
      <c r="E5" s="3"/>
      <c r="F5" s="3"/>
      <c r="G5" s="3"/>
      <c r="H5" s="3"/>
      <c r="I5" s="3"/>
      <c r="J5" s="3"/>
      <c r="L5" s="5"/>
      <c r="M5" s="5"/>
      <c r="N5" s="5"/>
      <c r="O5" s="5"/>
      <c r="P5" s="5"/>
      <c r="Q5" s="5"/>
      <c r="R5" s="5"/>
      <c r="S5" s="5"/>
      <c r="T5" s="5"/>
      <c r="U5" s="5"/>
      <c r="W5" s="3" t="s">
        <v>57</v>
      </c>
      <c r="X5" s="12">
        <v>0.1</v>
      </c>
    </row>
    <row r="6" spans="1:24" x14ac:dyDescent="0.25">
      <c r="B6" s="1" t="s">
        <v>9</v>
      </c>
      <c r="C6" s="5">
        <v>173.7</v>
      </c>
      <c r="D6" s="5">
        <v>175.2</v>
      </c>
      <c r="E6" s="5">
        <v>175.1</v>
      </c>
      <c r="F6" s="5">
        <v>185.8</v>
      </c>
      <c r="G6" s="5">
        <v>191</v>
      </c>
      <c r="H6" s="5">
        <v>191.3</v>
      </c>
      <c r="I6" s="5">
        <v>194.9</v>
      </c>
      <c r="J6" s="5">
        <v>201.8</v>
      </c>
      <c r="L6" s="5"/>
      <c r="M6" s="5"/>
      <c r="N6" s="5">
        <f>+SUM(C6:F6)</f>
        <v>709.8</v>
      </c>
      <c r="O6" s="5">
        <f>+SUM(G6:J6)</f>
        <v>779</v>
      </c>
      <c r="P6" s="5"/>
      <c r="Q6" s="5"/>
      <c r="R6" s="5"/>
      <c r="S6" s="5"/>
      <c r="T6" s="5"/>
      <c r="U6" s="5"/>
      <c r="W6" s="3" t="s">
        <v>58</v>
      </c>
      <c r="X6" s="4">
        <v>0</v>
      </c>
    </row>
    <row r="7" spans="1:24" x14ac:dyDescent="0.25">
      <c r="B7" s="1" t="s">
        <v>10</v>
      </c>
      <c r="C7" s="5">
        <v>154</v>
      </c>
      <c r="D7" s="5">
        <v>164.5</v>
      </c>
      <c r="E7" s="5">
        <v>172.1</v>
      </c>
      <c r="F7" s="5">
        <v>181.7</v>
      </c>
      <c r="G7" s="5">
        <v>197.6</v>
      </c>
      <c r="H7" s="5">
        <v>200.7</v>
      </c>
      <c r="I7" s="5">
        <v>202.2</v>
      </c>
      <c r="J7" s="5">
        <v>202.2</v>
      </c>
      <c r="L7" s="5"/>
      <c r="M7" s="5"/>
      <c r="N7" s="5">
        <f>+SUM(C7:F7)</f>
        <v>672.3</v>
      </c>
      <c r="O7" s="5">
        <f t="shared" ref="O7:O10" si="4">+SUM(G7:J7)</f>
        <v>802.7</v>
      </c>
      <c r="P7" s="5"/>
      <c r="Q7" s="5"/>
      <c r="R7" s="5"/>
      <c r="S7" s="5"/>
      <c r="T7" s="5"/>
      <c r="U7" s="5"/>
      <c r="W7" s="3" t="s">
        <v>59</v>
      </c>
      <c r="X7" s="4">
        <v>0.04</v>
      </c>
    </row>
    <row r="8" spans="1:24" x14ac:dyDescent="0.25">
      <c r="B8" s="1" t="s">
        <v>11</v>
      </c>
      <c r="C8" s="5">
        <v>57.3</v>
      </c>
      <c r="D8" s="5">
        <v>55.5</v>
      </c>
      <c r="E8" s="5">
        <v>54.7</v>
      </c>
      <c r="F8" s="5">
        <v>59.1</v>
      </c>
      <c r="G8" s="5">
        <v>62.1</v>
      </c>
      <c r="H8" s="5">
        <v>60.2</v>
      </c>
      <c r="I8" s="5">
        <v>64.8</v>
      </c>
      <c r="J8" s="5">
        <v>70.599999999999994</v>
      </c>
      <c r="L8" s="5"/>
      <c r="M8" s="5"/>
      <c r="N8" s="5">
        <f t="shared" ref="N8:N10" si="5">+SUM(C8:F8)</f>
        <v>226.6</v>
      </c>
      <c r="O8" s="5">
        <f t="shared" si="4"/>
        <v>257.70000000000005</v>
      </c>
      <c r="P8" s="5"/>
      <c r="Q8" s="5"/>
      <c r="R8" s="5"/>
      <c r="S8" s="5"/>
      <c r="T8" s="5"/>
      <c r="U8" s="5"/>
      <c r="W8" s="3" t="s">
        <v>60</v>
      </c>
      <c r="X8" s="10">
        <f>+NPV(X5,O23:BB23)+main!L6-main!L7</f>
        <v>14846.787572751036</v>
      </c>
    </row>
    <row r="9" spans="1:24" x14ac:dyDescent="0.25">
      <c r="B9" s="1" t="s">
        <v>12</v>
      </c>
      <c r="C9" s="5">
        <v>30</v>
      </c>
      <c r="D9" s="5">
        <v>31.3</v>
      </c>
      <c r="E9" s="5">
        <v>34.4</v>
      </c>
      <c r="F9" s="5">
        <v>32.1</v>
      </c>
      <c r="G9" s="5">
        <v>33</v>
      </c>
      <c r="H9" s="5">
        <v>36.6</v>
      </c>
      <c r="I9" s="5">
        <v>37.4</v>
      </c>
      <c r="J9" s="5">
        <v>38.5</v>
      </c>
      <c r="L9" s="5"/>
      <c r="M9" s="5"/>
      <c r="N9" s="5">
        <f t="shared" si="5"/>
        <v>127.79999999999998</v>
      </c>
      <c r="O9" s="5">
        <f t="shared" si="4"/>
        <v>145.5</v>
      </c>
      <c r="P9" s="5"/>
      <c r="Q9" s="5"/>
      <c r="R9" s="5"/>
      <c r="S9" s="5"/>
      <c r="T9" s="5"/>
      <c r="U9" s="5"/>
      <c r="W9" s="3" t="s">
        <v>1</v>
      </c>
      <c r="X9" s="11">
        <f>+(X8/main!L4)*11.61</f>
        <v>834.47585200572951</v>
      </c>
    </row>
    <row r="10" spans="1:24" x14ac:dyDescent="0.25">
      <c r="B10" s="1" t="s">
        <v>13</v>
      </c>
      <c r="C10" s="5">
        <v>14.6</v>
      </c>
      <c r="D10" s="5">
        <v>14.6</v>
      </c>
      <c r="E10" s="5">
        <v>16.3</v>
      </c>
      <c r="F10" s="5">
        <v>16.600000000000001</v>
      </c>
      <c r="G10" s="5">
        <v>17.8</v>
      </c>
      <c r="H10" s="5">
        <v>19.600000000000001</v>
      </c>
      <c r="I10" s="5">
        <v>20.2</v>
      </c>
      <c r="J10" s="5">
        <v>20.7</v>
      </c>
      <c r="L10" s="5"/>
      <c r="M10" s="5"/>
      <c r="N10" s="5">
        <f t="shared" si="5"/>
        <v>62.1</v>
      </c>
      <c r="O10" s="5">
        <f t="shared" si="4"/>
        <v>78.300000000000011</v>
      </c>
      <c r="P10" s="5"/>
      <c r="Q10" s="5"/>
      <c r="R10" s="5"/>
      <c r="S10" s="5"/>
      <c r="T10" s="5"/>
      <c r="U10" s="5"/>
      <c r="W10" s="3" t="s">
        <v>61</v>
      </c>
      <c r="X10" s="4">
        <f ca="1">+X9/main!L3-1</f>
        <v>1.765347805576778E-2</v>
      </c>
    </row>
    <row r="11" spans="1:24" x14ac:dyDescent="0.25">
      <c r="C11" s="5"/>
      <c r="D11" s="5"/>
      <c r="E11" s="5"/>
      <c r="F11" s="5"/>
      <c r="G11" s="5"/>
      <c r="H11" s="5"/>
      <c r="I11" s="5"/>
      <c r="J11" s="5"/>
      <c r="L11" s="5"/>
      <c r="M11" s="5"/>
      <c r="N11" s="5"/>
      <c r="O11" s="5"/>
      <c r="P11" s="5"/>
      <c r="Q11" s="5"/>
      <c r="R11" s="5"/>
      <c r="S11" s="5"/>
      <c r="T11" s="5"/>
      <c r="U11" s="5"/>
      <c r="W11" s="3"/>
    </row>
    <row r="12" spans="1:24" x14ac:dyDescent="0.25">
      <c r="B12" s="1" t="s">
        <v>28</v>
      </c>
      <c r="C12" s="5"/>
      <c r="D12" s="5"/>
      <c r="E12" s="5"/>
      <c r="F12" s="5"/>
      <c r="G12" s="5"/>
      <c r="H12" s="5"/>
      <c r="I12" s="5">
        <v>59.65</v>
      </c>
      <c r="J12" s="5">
        <v>91.408000000000001</v>
      </c>
      <c r="L12" s="5"/>
      <c r="M12" s="5"/>
      <c r="N12" s="5"/>
      <c r="O12" s="5">
        <f>+SUM(G12:J12)</f>
        <v>151.05799999999999</v>
      </c>
      <c r="P12" s="5"/>
      <c r="Q12" s="5"/>
      <c r="R12" s="5"/>
      <c r="S12" s="5"/>
      <c r="T12" s="5"/>
      <c r="U12" s="5"/>
      <c r="W12" s="3" t="s">
        <v>66</v>
      </c>
      <c r="X12" s="13">
        <f ca="1">+main!L8/model!I37</f>
        <v>11.944002904651287</v>
      </c>
    </row>
    <row r="13" spans="1:24" x14ac:dyDescent="0.25">
      <c r="C13" s="5"/>
      <c r="D13" s="5"/>
      <c r="E13" s="5"/>
      <c r="F13" s="5"/>
      <c r="G13" s="5"/>
      <c r="H13" s="5"/>
      <c r="I13" s="5"/>
      <c r="J13" s="5"/>
      <c r="L13" s="5"/>
      <c r="M13" s="5"/>
      <c r="N13" s="5"/>
      <c r="O13" s="5"/>
      <c r="P13" s="5"/>
      <c r="Q13" s="5"/>
      <c r="R13" s="5"/>
      <c r="S13" s="5"/>
      <c r="T13" s="5"/>
      <c r="U13" s="5"/>
    </row>
    <row r="14" spans="1:24" x14ac:dyDescent="0.25">
      <c r="B14" s="3" t="s">
        <v>22</v>
      </c>
      <c r="C14" s="6">
        <f t="shared" ref="C14:H14" si="6">+C3+C4+C12</f>
        <v>429.6</v>
      </c>
      <c r="D14" s="6">
        <f t="shared" si="6"/>
        <v>441.07500000000005</v>
      </c>
      <c r="E14" s="6">
        <f t="shared" si="6"/>
        <v>452.6</v>
      </c>
      <c r="F14" s="6">
        <f t="shared" si="6"/>
        <v>475.40000000000003</v>
      </c>
      <c r="G14" s="6">
        <f t="shared" si="6"/>
        <v>501.4</v>
      </c>
      <c r="H14" s="6">
        <f t="shared" si="6"/>
        <v>508.40000000000003</v>
      </c>
      <c r="I14" s="6">
        <f>+I3+I4+I12</f>
        <v>579.04999999999995</v>
      </c>
      <c r="J14" s="6">
        <f>+J3+J4+J12</f>
        <v>625.20799999999997</v>
      </c>
      <c r="L14" s="6">
        <f t="shared" ref="L14:U14" si="7">+L3+L4+L12</f>
        <v>1068.777</v>
      </c>
      <c r="M14" s="6">
        <f t="shared" si="7"/>
        <v>1456.7370000000001</v>
      </c>
      <c r="N14" s="6">
        <f t="shared" si="7"/>
        <v>1798.6009999999999</v>
      </c>
      <c r="O14" s="6">
        <f t="shared" si="7"/>
        <v>2214.058</v>
      </c>
      <c r="P14" s="6">
        <f t="shared" si="7"/>
        <v>2063</v>
      </c>
      <c r="Q14" s="6">
        <f t="shared" si="7"/>
        <v>2063</v>
      </c>
      <c r="R14" s="6">
        <f t="shared" si="7"/>
        <v>2063</v>
      </c>
      <c r="S14" s="6">
        <f t="shared" si="7"/>
        <v>2063</v>
      </c>
      <c r="T14" s="6">
        <f t="shared" si="7"/>
        <v>2063</v>
      </c>
      <c r="U14" s="6">
        <f t="shared" si="7"/>
        <v>2063</v>
      </c>
    </row>
    <row r="15" spans="1:24" x14ac:dyDescent="0.25">
      <c r="B15" s="1" t="s">
        <v>29</v>
      </c>
      <c r="C15" s="5">
        <v>82.933000000000007</v>
      </c>
      <c r="D15" s="5">
        <v>87.47</v>
      </c>
      <c r="E15" s="5">
        <v>91.037000000000006</v>
      </c>
      <c r="F15" s="5">
        <v>93.86</v>
      </c>
      <c r="G15" s="5">
        <v>106.771</v>
      </c>
      <c r="H15" s="5">
        <v>111.425</v>
      </c>
      <c r="I15" s="5">
        <v>110.593</v>
      </c>
      <c r="J15" s="5">
        <v>109.04600000000001</v>
      </c>
      <c r="L15" s="5">
        <v>207.16499999999999</v>
      </c>
      <c r="M15" s="5">
        <v>289.59800000000001</v>
      </c>
      <c r="N15" s="5">
        <v>355.3</v>
      </c>
      <c r="O15" s="5">
        <f t="shared" ref="O15:O17" si="8">+SUM(G15:J15)</f>
        <v>437.83499999999998</v>
      </c>
      <c r="P15" s="5">
        <f>+P14*0.18</f>
        <v>371.34</v>
      </c>
      <c r="Q15" s="5">
        <f t="shared" ref="Q15:U15" si="9">+Q14*0.18</f>
        <v>371.34</v>
      </c>
      <c r="R15" s="5">
        <f t="shared" si="9"/>
        <v>371.34</v>
      </c>
      <c r="S15" s="5">
        <f t="shared" si="9"/>
        <v>371.34</v>
      </c>
      <c r="T15" s="5">
        <f t="shared" si="9"/>
        <v>371.34</v>
      </c>
      <c r="U15" s="5">
        <f t="shared" si="9"/>
        <v>371.34</v>
      </c>
    </row>
    <row r="16" spans="1:24" x14ac:dyDescent="0.25">
      <c r="B16" s="1" t="s">
        <v>30</v>
      </c>
      <c r="C16" s="5">
        <v>28.678000000000001</v>
      </c>
      <c r="D16" s="5">
        <v>30.178000000000001</v>
      </c>
      <c r="E16" s="5">
        <v>31.462</v>
      </c>
      <c r="F16" s="5">
        <v>34.365000000000002</v>
      </c>
      <c r="G16" s="5">
        <v>34.174999999999997</v>
      </c>
      <c r="H16" s="5">
        <v>34.637999999999998</v>
      </c>
      <c r="I16" s="5">
        <v>36.078000000000003</v>
      </c>
      <c r="J16" s="5">
        <v>37.331000000000003</v>
      </c>
      <c r="L16" s="5">
        <v>80.646000000000001</v>
      </c>
      <c r="M16" s="5">
        <v>100.378</v>
      </c>
      <c r="N16" s="5">
        <v>124.68300000000001</v>
      </c>
      <c r="O16" s="5">
        <f t="shared" si="8"/>
        <v>142.22199999999998</v>
      </c>
      <c r="P16" s="5">
        <f>+O16*1.07</f>
        <v>152.17753999999999</v>
      </c>
      <c r="Q16" s="5">
        <f>+P16</f>
        <v>152.17753999999999</v>
      </c>
      <c r="R16" s="5">
        <f t="shared" ref="R16:U16" si="10">+Q16</f>
        <v>152.17753999999999</v>
      </c>
      <c r="S16" s="5">
        <f t="shared" si="10"/>
        <v>152.17753999999999</v>
      </c>
      <c r="T16" s="5">
        <f t="shared" si="10"/>
        <v>152.17753999999999</v>
      </c>
      <c r="U16" s="5">
        <f t="shared" si="10"/>
        <v>152.17753999999999</v>
      </c>
    </row>
    <row r="17" spans="1:54" x14ac:dyDescent="0.25">
      <c r="B17" s="1" t="s">
        <v>31</v>
      </c>
      <c r="C17" s="5">
        <v>46.482999999999997</v>
      </c>
      <c r="D17" s="5">
        <v>41.911999999999999</v>
      </c>
      <c r="E17" s="5">
        <v>43.006</v>
      </c>
      <c r="F17" s="5">
        <v>44.487000000000002</v>
      </c>
      <c r="G17" s="5">
        <v>48.893999999999998</v>
      </c>
      <c r="H17" s="5">
        <v>51.218000000000004</v>
      </c>
      <c r="I17" s="5">
        <v>53.179000000000002</v>
      </c>
      <c r="J17" s="5">
        <v>61.241999999999997</v>
      </c>
      <c r="L17" s="5">
        <v>126.962</v>
      </c>
      <c r="M17" s="5">
        <v>158.69900000000001</v>
      </c>
      <c r="N17" s="5">
        <v>175.88800000000001</v>
      </c>
      <c r="O17" s="5">
        <f t="shared" si="8"/>
        <v>214.53299999999999</v>
      </c>
      <c r="P17" s="5">
        <f>+O17*1.07</f>
        <v>229.55031</v>
      </c>
      <c r="Q17" s="5">
        <f>+P17</f>
        <v>229.55031</v>
      </c>
      <c r="R17" s="5">
        <f t="shared" ref="R17:U17" si="11">+Q17</f>
        <v>229.55031</v>
      </c>
      <c r="S17" s="5">
        <f t="shared" si="11"/>
        <v>229.55031</v>
      </c>
      <c r="T17" s="5">
        <f t="shared" si="11"/>
        <v>229.55031</v>
      </c>
      <c r="U17" s="5">
        <f t="shared" si="11"/>
        <v>229.55031</v>
      </c>
    </row>
    <row r="18" spans="1:54" x14ac:dyDescent="0.25">
      <c r="B18" s="1" t="s">
        <v>33</v>
      </c>
      <c r="C18" s="5">
        <f t="shared" ref="C18:H18" si="12">+C15+C16+C17</f>
        <v>158.09399999999999</v>
      </c>
      <c r="D18" s="5">
        <f t="shared" si="12"/>
        <v>159.56</v>
      </c>
      <c r="E18" s="5">
        <f t="shared" si="12"/>
        <v>165.505</v>
      </c>
      <c r="F18" s="5">
        <f t="shared" si="12"/>
        <v>172.71199999999999</v>
      </c>
      <c r="G18" s="5">
        <f t="shared" si="12"/>
        <v>189.84</v>
      </c>
      <c r="H18" s="5">
        <f t="shared" si="12"/>
        <v>197.28100000000001</v>
      </c>
      <c r="I18" s="5">
        <f>+I15+I16+I17</f>
        <v>199.85</v>
      </c>
      <c r="J18" s="5">
        <f>+J15+J16+J17</f>
        <v>207.619</v>
      </c>
      <c r="L18" s="5">
        <f t="shared" ref="L18" si="13">+L15+L16+L17</f>
        <v>414.77299999999997</v>
      </c>
      <c r="M18" s="5">
        <f t="shared" ref="M18:U18" si="14">+M15+M16+M17</f>
        <v>548.67499999999995</v>
      </c>
      <c r="N18" s="5">
        <f t="shared" si="14"/>
        <v>655.87099999999998</v>
      </c>
      <c r="O18" s="5">
        <f t="shared" si="14"/>
        <v>794.59</v>
      </c>
      <c r="P18" s="5">
        <f t="shared" si="14"/>
        <v>753.06784999999991</v>
      </c>
      <c r="Q18" s="5">
        <f t="shared" si="14"/>
        <v>753.06784999999991</v>
      </c>
      <c r="R18" s="5">
        <f t="shared" si="14"/>
        <v>753.06784999999991</v>
      </c>
      <c r="S18" s="5">
        <f t="shared" si="14"/>
        <v>753.06784999999991</v>
      </c>
      <c r="T18" s="5">
        <f t="shared" si="14"/>
        <v>753.06784999999991</v>
      </c>
      <c r="U18" s="5">
        <f t="shared" si="14"/>
        <v>753.06784999999991</v>
      </c>
    </row>
    <row r="19" spans="1:54" x14ac:dyDescent="0.25">
      <c r="B19" s="1" t="s">
        <v>32</v>
      </c>
      <c r="C19" s="5">
        <f t="shared" ref="C19:H19" si="15">+C14-C18</f>
        <v>271.50600000000003</v>
      </c>
      <c r="D19" s="5">
        <f t="shared" si="15"/>
        <v>281.51500000000004</v>
      </c>
      <c r="E19" s="5">
        <f t="shared" si="15"/>
        <v>287.09500000000003</v>
      </c>
      <c r="F19" s="5">
        <f t="shared" si="15"/>
        <v>302.68800000000005</v>
      </c>
      <c r="G19" s="5">
        <f t="shared" si="15"/>
        <v>311.55999999999995</v>
      </c>
      <c r="H19" s="5">
        <f t="shared" si="15"/>
        <v>311.11900000000003</v>
      </c>
      <c r="I19" s="5">
        <f>+I14-I18</f>
        <v>379.19999999999993</v>
      </c>
      <c r="J19" s="5">
        <f>+J14-J18</f>
        <v>417.58899999999994</v>
      </c>
      <c r="L19" s="5">
        <f t="shared" ref="L19" si="16">+L14-L18</f>
        <v>654.00400000000013</v>
      </c>
      <c r="M19" s="5">
        <f t="shared" ref="M19:U19" si="17">+M14-M18</f>
        <v>908.06200000000013</v>
      </c>
      <c r="N19" s="5">
        <f t="shared" si="17"/>
        <v>1142.73</v>
      </c>
      <c r="O19" s="5">
        <f t="shared" si="17"/>
        <v>1419.4679999999998</v>
      </c>
      <c r="P19" s="5">
        <f t="shared" si="17"/>
        <v>1309.9321500000001</v>
      </c>
      <c r="Q19" s="5">
        <f t="shared" si="17"/>
        <v>1309.9321500000001</v>
      </c>
      <c r="R19" s="5">
        <f t="shared" si="17"/>
        <v>1309.9321500000001</v>
      </c>
      <c r="S19" s="5">
        <f t="shared" si="17"/>
        <v>1309.9321500000001</v>
      </c>
      <c r="T19" s="5">
        <f t="shared" si="17"/>
        <v>1309.9321500000001</v>
      </c>
      <c r="U19" s="5">
        <f t="shared" si="17"/>
        <v>1309.9321500000001</v>
      </c>
    </row>
    <row r="20" spans="1:54" x14ac:dyDescent="0.25">
      <c r="B20" s="1" t="s">
        <v>37</v>
      </c>
      <c r="C20" s="5">
        <v>-1.425</v>
      </c>
      <c r="D20" s="5">
        <v>1.4930000000000001</v>
      </c>
      <c r="E20" s="5">
        <v>5.36</v>
      </c>
      <c r="F20" s="5">
        <v>0.44900000000000001</v>
      </c>
      <c r="G20" s="5">
        <v>5.8769999999999998</v>
      </c>
      <c r="H20" s="5">
        <v>6.7919999999999998</v>
      </c>
      <c r="I20" s="5">
        <v>-1.0089999999999999</v>
      </c>
      <c r="J20" s="5">
        <v>7.7110000000000003</v>
      </c>
      <c r="L20" s="5">
        <f>1.317-7.83</f>
        <v>-6.5129999999999999</v>
      </c>
      <c r="M20" s="5">
        <f>9.069-10.538</f>
        <v>-1.4689999999999994</v>
      </c>
      <c r="N20" s="5">
        <f>15.589-9.712</f>
        <v>5.8770000000000007</v>
      </c>
      <c r="O20" s="5">
        <f>+SUM(G20:J20)</f>
        <v>19.371000000000002</v>
      </c>
      <c r="P20" s="5">
        <f>+O42*$X$7</f>
        <v>51.879239999999989</v>
      </c>
      <c r="Q20" s="5">
        <f>+P42*$X$7</f>
        <v>102.538623708</v>
      </c>
      <c r="R20" s="5">
        <f t="shared" ref="Q20:U20" si="18">+Q42*$X$7</f>
        <v>155.08253648993761</v>
      </c>
      <c r="S20" s="5">
        <f t="shared" si="18"/>
        <v>209.58108282736328</v>
      </c>
      <c r="T20" s="5">
        <f t="shared" si="18"/>
        <v>266.10697508854122</v>
      </c>
      <c r="U20" s="5">
        <f t="shared" si="18"/>
        <v>324.73563054183501</v>
      </c>
    </row>
    <row r="21" spans="1:54" x14ac:dyDescent="0.25">
      <c r="B21" s="1" t="s">
        <v>34</v>
      </c>
      <c r="C21" s="5">
        <f t="shared" ref="C21:H21" si="19">+C19+C20</f>
        <v>270.08100000000002</v>
      </c>
      <c r="D21" s="5">
        <f t="shared" si="19"/>
        <v>283.00800000000004</v>
      </c>
      <c r="E21" s="5">
        <f t="shared" si="19"/>
        <v>292.45500000000004</v>
      </c>
      <c r="F21" s="5">
        <f t="shared" si="19"/>
        <v>303.13700000000006</v>
      </c>
      <c r="G21" s="5">
        <f>+G19+G20</f>
        <v>317.43699999999995</v>
      </c>
      <c r="H21" s="5">
        <f t="shared" si="19"/>
        <v>317.911</v>
      </c>
      <c r="I21" s="5">
        <f>+I19+I20</f>
        <v>378.19099999999992</v>
      </c>
      <c r="J21" s="5">
        <f>+J19+J20</f>
        <v>425.29999999999995</v>
      </c>
      <c r="L21" s="5">
        <f t="shared" ref="L21:U21" si="20">+L19+L20</f>
        <v>647.4910000000001</v>
      </c>
      <c r="M21" s="5">
        <f t="shared" si="20"/>
        <v>906.59300000000007</v>
      </c>
      <c r="N21" s="5">
        <f t="shared" si="20"/>
        <v>1148.607</v>
      </c>
      <c r="O21" s="5">
        <f t="shared" si="20"/>
        <v>1438.8389999999999</v>
      </c>
      <c r="P21" s="5">
        <f t="shared" si="20"/>
        <v>1361.8113900000001</v>
      </c>
      <c r="Q21" s="5">
        <f t="shared" si="20"/>
        <v>1412.470773708</v>
      </c>
      <c r="R21" s="5">
        <f t="shared" si="20"/>
        <v>1465.0146864899377</v>
      </c>
      <c r="S21" s="5">
        <f t="shared" si="20"/>
        <v>1519.5132328273635</v>
      </c>
      <c r="T21" s="5">
        <f t="shared" si="20"/>
        <v>1576.0391250885414</v>
      </c>
      <c r="U21" s="5">
        <f t="shared" si="20"/>
        <v>1634.6677805418351</v>
      </c>
    </row>
    <row r="22" spans="1:54" x14ac:dyDescent="0.25">
      <c r="B22" s="1" t="s">
        <v>35</v>
      </c>
      <c r="C22" s="5">
        <v>18.905000000000001</v>
      </c>
      <c r="D22" s="5">
        <v>18.919</v>
      </c>
      <c r="E22" s="5">
        <v>19.736999999999998</v>
      </c>
      <c r="F22" s="5">
        <v>20.187999999999999</v>
      </c>
      <c r="G22" s="5">
        <v>48.331000000000003</v>
      </c>
      <c r="H22" s="5">
        <v>48.777999999999999</v>
      </c>
      <c r="I22" s="5">
        <v>49.558999999999997</v>
      </c>
      <c r="J22" s="5">
        <v>48.241</v>
      </c>
      <c r="L22" s="5">
        <v>42.055999999999997</v>
      </c>
      <c r="M22" s="5">
        <v>63.231999999999999</v>
      </c>
      <c r="N22" s="5">
        <v>77.748999999999995</v>
      </c>
      <c r="O22" s="5">
        <f>+SUM(G22:J22)</f>
        <v>194.90899999999999</v>
      </c>
      <c r="P22" s="5">
        <f t="shared" ref="P22:U22" si="21">+P21*0.07</f>
        <v>95.32679730000001</v>
      </c>
      <c r="Q22" s="5">
        <f t="shared" si="21"/>
        <v>98.87295415956001</v>
      </c>
      <c r="R22" s="5">
        <f t="shared" si="21"/>
        <v>102.55102805429566</v>
      </c>
      <c r="S22" s="5">
        <f t="shared" si="21"/>
        <v>106.36592629791545</v>
      </c>
      <c r="T22" s="5">
        <f t="shared" si="21"/>
        <v>110.32273875619791</v>
      </c>
      <c r="U22" s="5">
        <f t="shared" si="21"/>
        <v>114.42674463792846</v>
      </c>
    </row>
    <row r="23" spans="1:54" x14ac:dyDescent="0.25">
      <c r="A23" s="3"/>
      <c r="B23" s="3" t="s">
        <v>36</v>
      </c>
      <c r="C23" s="6">
        <f t="shared" ref="C23:H23" si="22">+C21-C22</f>
        <v>251.17600000000002</v>
      </c>
      <c r="D23" s="6">
        <f t="shared" si="22"/>
        <v>264.08900000000006</v>
      </c>
      <c r="E23" s="6">
        <f t="shared" si="22"/>
        <v>272.71800000000002</v>
      </c>
      <c r="F23" s="6">
        <f t="shared" si="22"/>
        <v>282.94900000000007</v>
      </c>
      <c r="G23" s="6">
        <f t="shared" si="22"/>
        <v>269.10599999999994</v>
      </c>
      <c r="H23" s="6">
        <f t="shared" si="22"/>
        <v>269.13299999999998</v>
      </c>
      <c r="I23" s="6">
        <f>+I21-I22</f>
        <v>328.63199999999995</v>
      </c>
      <c r="J23" s="6">
        <f>+J21-J22</f>
        <v>377.05899999999997</v>
      </c>
      <c r="K23" s="3"/>
      <c r="L23" s="6">
        <f t="shared" ref="L23:U23" si="23">+L21-L22</f>
        <v>605.43500000000006</v>
      </c>
      <c r="M23" s="6">
        <f t="shared" si="23"/>
        <v>843.3610000000001</v>
      </c>
      <c r="N23" s="6">
        <f t="shared" si="23"/>
        <v>1070.8579999999999</v>
      </c>
      <c r="O23" s="6">
        <f t="shared" si="23"/>
        <v>1243.9299999999998</v>
      </c>
      <c r="P23" s="6">
        <f t="shared" si="23"/>
        <v>1266.4845927000001</v>
      </c>
      <c r="Q23" s="6">
        <f t="shared" si="23"/>
        <v>1313.5978195484399</v>
      </c>
      <c r="R23" s="6">
        <f t="shared" si="23"/>
        <v>1362.4636584356422</v>
      </c>
      <c r="S23" s="6">
        <f t="shared" si="23"/>
        <v>1413.1473065294481</v>
      </c>
      <c r="T23" s="6">
        <f t="shared" si="23"/>
        <v>1465.7163863323435</v>
      </c>
      <c r="U23" s="6">
        <f t="shared" si="23"/>
        <v>1520.2410359039065</v>
      </c>
      <c r="V23" s="6">
        <f t="shared" ref="V23:BB23" si="24">+U23*(1+$X$6)</f>
        <v>1520.2410359039065</v>
      </c>
      <c r="W23" s="6">
        <f t="shared" si="24"/>
        <v>1520.2410359039065</v>
      </c>
      <c r="X23" s="6">
        <f t="shared" si="24"/>
        <v>1520.2410359039065</v>
      </c>
      <c r="Y23" s="6">
        <f t="shared" si="24"/>
        <v>1520.2410359039065</v>
      </c>
      <c r="Z23" s="6">
        <f t="shared" si="24"/>
        <v>1520.2410359039065</v>
      </c>
      <c r="AA23" s="6">
        <f t="shared" si="24"/>
        <v>1520.2410359039065</v>
      </c>
      <c r="AB23" s="6">
        <f t="shared" si="24"/>
        <v>1520.2410359039065</v>
      </c>
      <c r="AC23" s="6">
        <f t="shared" si="24"/>
        <v>1520.2410359039065</v>
      </c>
      <c r="AD23" s="6">
        <f t="shared" si="24"/>
        <v>1520.2410359039065</v>
      </c>
      <c r="AE23" s="6">
        <f t="shared" si="24"/>
        <v>1520.2410359039065</v>
      </c>
      <c r="AF23" s="6">
        <f t="shared" si="24"/>
        <v>1520.2410359039065</v>
      </c>
      <c r="AG23" s="6">
        <f t="shared" si="24"/>
        <v>1520.2410359039065</v>
      </c>
      <c r="AH23" s="6">
        <f t="shared" si="24"/>
        <v>1520.2410359039065</v>
      </c>
      <c r="AI23" s="6">
        <f t="shared" si="24"/>
        <v>1520.2410359039065</v>
      </c>
      <c r="AJ23" s="6">
        <f t="shared" si="24"/>
        <v>1520.2410359039065</v>
      </c>
      <c r="AK23" s="6">
        <f t="shared" si="24"/>
        <v>1520.2410359039065</v>
      </c>
      <c r="AL23" s="6">
        <f t="shared" si="24"/>
        <v>1520.2410359039065</v>
      </c>
      <c r="AM23" s="6">
        <f t="shared" si="24"/>
        <v>1520.2410359039065</v>
      </c>
      <c r="AN23" s="6">
        <f t="shared" si="24"/>
        <v>1520.2410359039065</v>
      </c>
      <c r="AO23" s="6">
        <f t="shared" si="24"/>
        <v>1520.2410359039065</v>
      </c>
      <c r="AP23" s="6">
        <f t="shared" si="24"/>
        <v>1520.2410359039065</v>
      </c>
      <c r="AQ23" s="6">
        <f t="shared" si="24"/>
        <v>1520.2410359039065</v>
      </c>
      <c r="AR23" s="6">
        <f t="shared" si="24"/>
        <v>1520.2410359039065</v>
      </c>
      <c r="AS23" s="6">
        <f t="shared" si="24"/>
        <v>1520.2410359039065</v>
      </c>
      <c r="AT23" s="6">
        <f t="shared" si="24"/>
        <v>1520.2410359039065</v>
      </c>
      <c r="AU23" s="6">
        <f t="shared" si="24"/>
        <v>1520.2410359039065</v>
      </c>
      <c r="AV23" s="6">
        <f t="shared" si="24"/>
        <v>1520.2410359039065</v>
      </c>
      <c r="AW23" s="6">
        <f t="shared" si="24"/>
        <v>1520.2410359039065</v>
      </c>
      <c r="AX23" s="6">
        <f t="shared" si="24"/>
        <v>1520.2410359039065</v>
      </c>
      <c r="AY23" s="6">
        <f t="shared" si="24"/>
        <v>1520.2410359039065</v>
      </c>
      <c r="AZ23" s="6">
        <f t="shared" si="24"/>
        <v>1520.2410359039065</v>
      </c>
      <c r="BA23" s="6">
        <f t="shared" si="24"/>
        <v>1520.2410359039065</v>
      </c>
      <c r="BB23" s="6">
        <f t="shared" si="24"/>
        <v>1520.2410359039065</v>
      </c>
    </row>
    <row r="24" spans="1:54" x14ac:dyDescent="0.25">
      <c r="B24" s="1" t="s">
        <v>2</v>
      </c>
      <c r="C24" s="5">
        <v>219.63017400000001</v>
      </c>
      <c r="D24" s="5">
        <v>217.21492499999999</v>
      </c>
      <c r="E24" s="5">
        <v>216.12</v>
      </c>
      <c r="F24" s="5">
        <v>215.310981</v>
      </c>
      <c r="G24" s="5">
        <v>214.96843699999999</v>
      </c>
      <c r="H24" s="5">
        <v>211.04386099999999</v>
      </c>
      <c r="I24" s="5">
        <v>209.31903600000001</v>
      </c>
      <c r="J24" s="5">
        <v>206.562243</v>
      </c>
      <c r="L24" s="5">
        <v>221.818828</v>
      </c>
      <c r="M24" s="5">
        <v>217.505</v>
      </c>
      <c r="N24" s="5">
        <v>217.06899999999999</v>
      </c>
      <c r="O24" s="5">
        <v>210.47300000000001</v>
      </c>
      <c r="P24" s="5">
        <f>+O24*0.975</f>
        <v>205.211175</v>
      </c>
      <c r="Q24" s="5">
        <f t="shared" ref="Q24:U24" si="25">+P24*0.975</f>
        <v>200.08089562499998</v>
      </c>
      <c r="R24" s="5">
        <f t="shared" si="25"/>
        <v>195.07887323437498</v>
      </c>
      <c r="S24" s="5">
        <f t="shared" si="25"/>
        <v>190.20190140351559</v>
      </c>
      <c r="T24" s="5">
        <f t="shared" si="25"/>
        <v>185.4468538684277</v>
      </c>
      <c r="U24" s="5">
        <f t="shared" si="25"/>
        <v>180.81068252171701</v>
      </c>
    </row>
    <row r="25" spans="1:54" x14ac:dyDescent="0.25">
      <c r="B25" s="1" t="s">
        <v>38</v>
      </c>
      <c r="C25" s="8">
        <f t="shared" ref="C25" si="26">+C23/C24</f>
        <v>1.143631566762771</v>
      </c>
      <c r="D25" s="8">
        <f>+D23/D24</f>
        <v>1.2157958298675842</v>
      </c>
      <c r="E25" s="8">
        <f>+E23/E24</f>
        <v>1.26188228761799</v>
      </c>
      <c r="F25" s="8">
        <f t="shared" ref="F25" si="27">+F23/F24</f>
        <v>1.3141410562798934</v>
      </c>
      <c r="G25" s="8">
        <f>+G23/G24</f>
        <v>1.2518395898277845</v>
      </c>
      <c r="H25" s="8">
        <f>+H23/H24</f>
        <v>1.2752467601983457</v>
      </c>
      <c r="I25" s="8">
        <f>+I23/I24</f>
        <v>1.570005319535295</v>
      </c>
      <c r="J25" s="8">
        <f>+J23/J24</f>
        <v>1.8254013634040562</v>
      </c>
      <c r="L25" s="8">
        <f t="shared" ref="L25:U25" si="28">+L23/L24</f>
        <v>2.7294121308764652</v>
      </c>
      <c r="M25" s="8">
        <f t="shared" si="28"/>
        <v>3.8774327026964901</v>
      </c>
      <c r="N25" s="8">
        <f t="shared" si="28"/>
        <v>4.9332608525399761</v>
      </c>
      <c r="O25" s="8">
        <f t="shared" si="28"/>
        <v>5.9101642490960824</v>
      </c>
      <c r="P25" s="8">
        <f t="shared" si="28"/>
        <v>6.1716161057018466</v>
      </c>
      <c r="Q25" s="8">
        <f t="shared" si="28"/>
        <v>6.5653335639322616</v>
      </c>
      <c r="R25" s="8">
        <f t="shared" si="28"/>
        <v>6.9841681769338901</v>
      </c>
      <c r="S25" s="8">
        <f t="shared" si="28"/>
        <v>7.4297222903752118</v>
      </c>
      <c r="T25" s="8">
        <f t="shared" si="28"/>
        <v>7.9037004713611996</v>
      </c>
      <c r="U25" s="8">
        <f t="shared" si="28"/>
        <v>8.4079160296367537</v>
      </c>
    </row>
    <row r="26" spans="1:54" x14ac:dyDescent="0.25">
      <c r="C26" s="5"/>
      <c r="D26" s="5"/>
      <c r="E26" s="5"/>
      <c r="F26" s="5"/>
      <c r="G26" s="5"/>
      <c r="H26" s="5"/>
      <c r="I26" s="5"/>
      <c r="J26" s="5"/>
    </row>
    <row r="27" spans="1:54" x14ac:dyDescent="0.25">
      <c r="B27" s="1" t="s">
        <v>26</v>
      </c>
      <c r="C27" s="5"/>
      <c r="D27" s="5"/>
      <c r="E27" s="5"/>
      <c r="F27" s="5"/>
      <c r="G27" s="4">
        <f t="shared" ref="G27:H28" si="29">+G3/C3-1</f>
        <v>0.19772285476256601</v>
      </c>
      <c r="H27" s="4">
        <f t="shared" si="29"/>
        <v>0.17832167832167833</v>
      </c>
      <c r="I27" s="4">
        <f>+I3/E3-1</f>
        <v>0.1583722135821668</v>
      </c>
      <c r="J27" s="4">
        <f>+J3/F3-1</f>
        <v>0.13264299802761337</v>
      </c>
      <c r="M27" s="4">
        <f t="shared" ref="M27:M28" si="30">+M3/L3-1</f>
        <v>0.4159368379410846</v>
      </c>
      <c r="N27" s="4">
        <f>+N3/M3-1</f>
        <v>0.28188483120537766</v>
      </c>
      <c r="O27" s="4">
        <f t="shared" ref="O27:U27" si="31">+O3/N3-1</f>
        <v>0.1657128001922179</v>
      </c>
      <c r="P27" s="4">
        <f t="shared" si="31"/>
        <v>0</v>
      </c>
      <c r="Q27" s="4">
        <f t="shared" si="31"/>
        <v>0</v>
      </c>
      <c r="R27" s="4">
        <f t="shared" si="31"/>
        <v>0</v>
      </c>
      <c r="S27" s="4">
        <f t="shared" si="31"/>
        <v>0</v>
      </c>
      <c r="T27" s="4">
        <f t="shared" si="31"/>
        <v>0</v>
      </c>
      <c r="U27" s="4">
        <f t="shared" si="31"/>
        <v>0</v>
      </c>
    </row>
    <row r="28" spans="1:54" x14ac:dyDescent="0.25">
      <c r="B28" s="1" t="s">
        <v>27</v>
      </c>
      <c r="C28" s="5"/>
      <c r="D28" s="5"/>
      <c r="E28" s="5"/>
      <c r="F28" s="5"/>
      <c r="G28" s="4">
        <f t="shared" si="29"/>
        <v>8.6330935251797136E-3</v>
      </c>
      <c r="H28" s="4">
        <f t="shared" si="29"/>
        <v>1.4796102490075569E-2</v>
      </c>
      <c r="I28" s="4">
        <f t="shared" ref="I28:J28" si="32">+I4/E4-1</f>
        <v>8.5329341317365248E-2</v>
      </c>
      <c r="J28" s="4">
        <f t="shared" si="32"/>
        <v>6.5902578796561695E-2</v>
      </c>
      <c r="M28" s="4">
        <f t="shared" si="30"/>
        <v>0.16942654625139952</v>
      </c>
      <c r="N28" s="4">
        <f t="shared" ref="N28:U28" si="33">+N4/M4-1</f>
        <v>2.5697670519951421E-2</v>
      </c>
      <c r="O28" s="4">
        <f t="shared" si="33"/>
        <v>4.3486472449123958E-2</v>
      </c>
      <c r="P28" s="4">
        <f t="shared" si="33"/>
        <v>0</v>
      </c>
      <c r="Q28" s="4">
        <f t="shared" si="33"/>
        <v>0</v>
      </c>
      <c r="R28" s="4">
        <f t="shared" si="33"/>
        <v>0</v>
      </c>
      <c r="S28" s="4">
        <f t="shared" si="33"/>
        <v>0</v>
      </c>
      <c r="T28" s="4">
        <f t="shared" si="33"/>
        <v>0</v>
      </c>
      <c r="U28" s="4">
        <f t="shared" si="33"/>
        <v>0</v>
      </c>
    </row>
    <row r="29" spans="1:54" x14ac:dyDescent="0.25">
      <c r="B29" s="3" t="s">
        <v>39</v>
      </c>
      <c r="C29" s="6"/>
      <c r="D29" s="6"/>
      <c r="E29" s="6"/>
      <c r="F29" s="6"/>
      <c r="G29" s="9">
        <f t="shared" ref="G29:H29" si="34">+G14/C14-1</f>
        <v>0.16713221601489736</v>
      </c>
      <c r="H29" s="9">
        <f t="shared" si="34"/>
        <v>0.15263844017457351</v>
      </c>
      <c r="I29" s="9">
        <f>+I14/E14-1</f>
        <v>0.27938577110030915</v>
      </c>
      <c r="J29" s="9">
        <f>+J14/F14-1</f>
        <v>0.31511989903239357</v>
      </c>
      <c r="M29" s="9">
        <f t="shared" ref="M29" si="35">+M14/L14-1</f>
        <v>0.36299433838864426</v>
      </c>
      <c r="N29" s="9">
        <f>+N14/M14-1</f>
        <v>0.23467791372087055</v>
      </c>
      <c r="O29" s="9">
        <f t="shared" ref="O29:U29" si="36">+O14/N14-1</f>
        <v>0.23098897420828757</v>
      </c>
      <c r="P29" s="9">
        <f t="shared" si="36"/>
        <v>-6.8226758287271649E-2</v>
      </c>
      <c r="Q29" s="9">
        <f t="shared" si="36"/>
        <v>0</v>
      </c>
      <c r="R29" s="9">
        <f t="shared" si="36"/>
        <v>0</v>
      </c>
      <c r="S29" s="9">
        <f t="shared" si="36"/>
        <v>0</v>
      </c>
      <c r="T29" s="9">
        <f t="shared" si="36"/>
        <v>0</v>
      </c>
      <c r="U29" s="9">
        <f t="shared" si="36"/>
        <v>0</v>
      </c>
    </row>
    <row r="30" spans="1:54" x14ac:dyDescent="0.25">
      <c r="C30" s="5"/>
      <c r="D30" s="5"/>
      <c r="E30" s="5"/>
      <c r="F30" s="5"/>
      <c r="G30" s="5"/>
      <c r="H30" s="5"/>
      <c r="I30" s="5"/>
      <c r="J30" s="5"/>
    </row>
    <row r="31" spans="1:54" x14ac:dyDescent="0.25">
      <c r="B31" s="1" t="s">
        <v>40</v>
      </c>
      <c r="C31" s="4">
        <f t="shared" ref="C31:H31" si="37">+C19/C14</f>
        <v>0.63199720670391069</v>
      </c>
      <c r="D31" s="4">
        <f t="shared" si="37"/>
        <v>0.63824746358329087</v>
      </c>
      <c r="E31" s="4">
        <f t="shared" si="37"/>
        <v>0.63432390631904556</v>
      </c>
      <c r="F31" s="4">
        <f t="shared" si="37"/>
        <v>0.63670172486327303</v>
      </c>
      <c r="G31" s="4">
        <f t="shared" si="37"/>
        <v>0.62138013562026317</v>
      </c>
      <c r="H31" s="4">
        <f t="shared" si="37"/>
        <v>0.61195712037765537</v>
      </c>
      <c r="I31" s="4">
        <f>+I19/I14</f>
        <v>0.65486572834815637</v>
      </c>
      <c r="J31" s="4">
        <f>+J19/J14</f>
        <v>0.66792011618533342</v>
      </c>
      <c r="L31" s="4">
        <f t="shared" ref="L31" si="38">+L19/L14</f>
        <v>0.61191810826767423</v>
      </c>
      <c r="M31" s="4">
        <f t="shared" ref="M31:N31" si="39">+M19/M14</f>
        <v>0.62335342618468537</v>
      </c>
      <c r="N31" s="4">
        <f t="shared" si="39"/>
        <v>0.63534380332269358</v>
      </c>
      <c r="O31" s="4">
        <f t="shared" ref="O31:U31" si="40">+O19/O14</f>
        <v>0.64111599605791714</v>
      </c>
      <c r="P31" s="4">
        <f t="shared" si="40"/>
        <v>0.63496468734852163</v>
      </c>
      <c r="Q31" s="4">
        <f t="shared" si="40"/>
        <v>0.63496468734852163</v>
      </c>
      <c r="R31" s="4">
        <f t="shared" si="40"/>
        <v>0.63496468734852163</v>
      </c>
      <c r="S31" s="4">
        <f t="shared" si="40"/>
        <v>0.63496468734852163</v>
      </c>
      <c r="T31" s="4">
        <f t="shared" si="40"/>
        <v>0.63496468734852163</v>
      </c>
      <c r="U31" s="4">
        <f t="shared" si="40"/>
        <v>0.63496468734852163</v>
      </c>
    </row>
    <row r="32" spans="1:54" x14ac:dyDescent="0.25">
      <c r="B32" s="1" t="s">
        <v>41</v>
      </c>
      <c r="C32" s="4">
        <f t="shared" ref="C32:H32" si="41">+C23/C14</f>
        <v>0.58467411545623837</v>
      </c>
      <c r="D32" s="4">
        <f t="shared" si="41"/>
        <v>0.5987394434053166</v>
      </c>
      <c r="E32" s="4">
        <f t="shared" si="41"/>
        <v>0.60255855059655328</v>
      </c>
      <c r="F32" s="4">
        <f t="shared" si="41"/>
        <v>0.595180900294489</v>
      </c>
      <c r="G32" s="4">
        <f t="shared" si="41"/>
        <v>0.5367092142002392</v>
      </c>
      <c r="H32" s="4">
        <f t="shared" si="41"/>
        <v>0.52937254130605815</v>
      </c>
      <c r="I32" s="4">
        <f>+I23/I14</f>
        <v>0.56753648216906993</v>
      </c>
      <c r="J32" s="4">
        <f>+J23/J14</f>
        <v>0.6030936904198283</v>
      </c>
      <c r="L32" s="4">
        <f t="shared" ref="L32" si="42">+L23/L14</f>
        <v>0.56647457795218281</v>
      </c>
      <c r="M32" s="4">
        <f t="shared" ref="M32:N32" si="43">+M23/M14</f>
        <v>0.57893840823703935</v>
      </c>
      <c r="N32" s="4">
        <f t="shared" si="43"/>
        <v>0.59538385667527149</v>
      </c>
      <c r="O32" s="4">
        <f t="shared" ref="O32:U32" si="44">+O23/O14</f>
        <v>0.56183261685104902</v>
      </c>
      <c r="P32" s="4">
        <f t="shared" si="44"/>
        <v>0.61390431056713535</v>
      </c>
      <c r="Q32" s="4">
        <f t="shared" si="44"/>
        <v>0.63674155092023266</v>
      </c>
      <c r="R32" s="4">
        <f t="shared" si="44"/>
        <v>0.66042833661446543</v>
      </c>
      <c r="S32" s="4">
        <f t="shared" si="44"/>
        <v>0.68499627073652358</v>
      </c>
      <c r="T32" s="4">
        <f t="shared" si="44"/>
        <v>0.7104781320079222</v>
      </c>
      <c r="U32" s="4">
        <f t="shared" si="44"/>
        <v>0.73690791851861681</v>
      </c>
    </row>
    <row r="33" spans="2:21" x14ac:dyDescent="0.25">
      <c r="C33" s="5"/>
      <c r="D33" s="5"/>
      <c r="E33" s="5"/>
      <c r="F33" s="5"/>
      <c r="G33" s="5"/>
      <c r="H33" s="5"/>
      <c r="I33" s="5"/>
      <c r="J33" s="5"/>
    </row>
    <row r="34" spans="2:21" x14ac:dyDescent="0.25">
      <c r="B34" s="1" t="s">
        <v>44</v>
      </c>
      <c r="C34" s="5">
        <v>277.34899999999999</v>
      </c>
      <c r="D34" s="5">
        <v>233.80699999999999</v>
      </c>
      <c r="E34" s="5">
        <v>342.87599999999998</v>
      </c>
      <c r="F34" s="5">
        <v>314.41500000000002</v>
      </c>
      <c r="G34" s="5">
        <v>301.81400000000002</v>
      </c>
      <c r="H34" s="5">
        <v>312.77300000000002</v>
      </c>
      <c r="I34" s="5">
        <v>356.91</v>
      </c>
      <c r="J34" s="5">
        <v>329.50700000000001</v>
      </c>
      <c r="L34" s="5">
        <v>598.89499999999998</v>
      </c>
      <c r="M34" s="5">
        <v>877.46500000000003</v>
      </c>
      <c r="N34" s="5">
        <v>1168.4469999999999</v>
      </c>
      <c r="O34" s="5">
        <v>1359.883</v>
      </c>
      <c r="P34" s="5"/>
      <c r="Q34" s="5"/>
      <c r="R34" s="5"/>
      <c r="S34" s="5"/>
      <c r="T34" s="5"/>
      <c r="U34" s="5"/>
    </row>
    <row r="35" spans="2:21" x14ac:dyDescent="0.25">
      <c r="B35" s="1" t="s">
        <v>45</v>
      </c>
      <c r="C35" s="5">
        <f>10.664+11.477</f>
        <v>22.140999999999998</v>
      </c>
      <c r="D35" s="5">
        <f>12.149+10.629</f>
        <v>22.777999999999999</v>
      </c>
      <c r="E35" s="5">
        <f>10.991+7.972</f>
        <v>18.963000000000001</v>
      </c>
      <c r="F35" s="5">
        <f>18.169+12.141</f>
        <v>30.310000000000002</v>
      </c>
      <c r="G35" s="5">
        <f>17.08+19.345</f>
        <v>36.424999999999997</v>
      </c>
      <c r="H35" s="5">
        <f>16.392+16.153</f>
        <v>32.545000000000002</v>
      </c>
      <c r="I35" s="5">
        <f>17.939+14.326</f>
        <v>32.265000000000001</v>
      </c>
      <c r="J35" s="5">
        <f>19.984+15.494</f>
        <v>35.478000000000002</v>
      </c>
      <c r="L35" s="5">
        <f>28.285+33.307</f>
        <v>61.591999999999999</v>
      </c>
      <c r="M35" s="5">
        <f>36.278+60.661</f>
        <v>96.938999999999993</v>
      </c>
      <c r="N35" s="5">
        <f>51.973+42.219</f>
        <v>94.192000000000007</v>
      </c>
      <c r="O35" s="5">
        <f>71.395+65.318</f>
        <v>136.71299999999999</v>
      </c>
      <c r="P35" s="5"/>
      <c r="Q35" s="5"/>
      <c r="R35" s="5"/>
      <c r="S35" s="5"/>
      <c r="T35" s="5"/>
      <c r="U35" s="5"/>
    </row>
    <row r="36" spans="2:21" x14ac:dyDescent="0.25">
      <c r="B36" s="3" t="s">
        <v>46</v>
      </c>
      <c r="C36" s="6">
        <f t="shared" ref="C36" si="45">+C34-C35</f>
        <v>255.208</v>
      </c>
      <c r="D36" s="6">
        <f>+D34-D35</f>
        <v>211.029</v>
      </c>
      <c r="E36" s="6">
        <f>+E34-E35</f>
        <v>323.91299999999995</v>
      </c>
      <c r="F36" s="6">
        <f t="shared" ref="F36:G36" si="46">+F34-F35</f>
        <v>284.10500000000002</v>
      </c>
      <c r="G36" s="6">
        <f t="shared" si="46"/>
        <v>265.38900000000001</v>
      </c>
      <c r="H36" s="6">
        <f>+H34-H35</f>
        <v>280.22800000000001</v>
      </c>
      <c r="I36" s="6">
        <f>+I34-I35</f>
        <v>324.64500000000004</v>
      </c>
      <c r="J36" s="6">
        <f t="shared" ref="J36" si="47">+J34-J35</f>
        <v>294.029</v>
      </c>
      <c r="L36" s="6">
        <f t="shared" ref="L36:M36" si="48">+L34-L35</f>
        <v>537.303</v>
      </c>
      <c r="M36" s="6">
        <f t="shared" si="48"/>
        <v>780.52600000000007</v>
      </c>
      <c r="N36" s="6">
        <f>+N34-N35</f>
        <v>1074.2549999999999</v>
      </c>
      <c r="O36" s="6">
        <f t="shared" ref="O36" si="49">+O34-O35</f>
        <v>1223.17</v>
      </c>
      <c r="P36" s="5"/>
      <c r="Q36" s="5"/>
      <c r="R36" s="5"/>
      <c r="S36" s="5"/>
      <c r="T36" s="5"/>
      <c r="U36" s="5"/>
    </row>
    <row r="37" spans="2:21" x14ac:dyDescent="0.25">
      <c r="I37" s="5">
        <f>+SUM(F36:I36)</f>
        <v>1154.367</v>
      </c>
      <c r="J37" s="5">
        <f t="shared" ref="J37" si="50">+SUM(G36:J36)</f>
        <v>1164.2909999999999</v>
      </c>
    </row>
    <row r="39" spans="2:21" x14ac:dyDescent="0.25">
      <c r="B39" s="1" t="s">
        <v>23</v>
      </c>
      <c r="E39" s="4">
        <v>0.4</v>
      </c>
      <c r="F39" s="4">
        <v>0.4</v>
      </c>
      <c r="G39" s="4">
        <v>0.39</v>
      </c>
      <c r="H39" s="4">
        <v>0.39</v>
      </c>
      <c r="I39" s="4">
        <v>0.39</v>
      </c>
      <c r="J39" s="4">
        <v>0.41</v>
      </c>
    </row>
    <row r="40" spans="2:21" x14ac:dyDescent="0.25">
      <c r="B40" s="1" t="s">
        <v>24</v>
      </c>
    </row>
    <row r="42" spans="2:21" x14ac:dyDescent="0.25">
      <c r="B42" s="1" t="s">
        <v>55</v>
      </c>
      <c r="I42" s="5">
        <f>+main!L6-main!L7</f>
        <v>801.47400000000005</v>
      </c>
      <c r="N42" s="5">
        <v>53.051000000000002</v>
      </c>
      <c r="O42" s="5">
        <f>+N42+O23</f>
        <v>1296.9809999999998</v>
      </c>
      <c r="P42" s="5">
        <f t="shared" ref="P42:U42" si="51">+O42+P23</f>
        <v>2563.4655926999999</v>
      </c>
      <c r="Q42" s="5">
        <f t="shared" si="51"/>
        <v>3877.0634122484398</v>
      </c>
      <c r="R42" s="5">
        <f t="shared" si="51"/>
        <v>5239.527070684082</v>
      </c>
      <c r="S42" s="5">
        <f t="shared" si="51"/>
        <v>6652.6743772135305</v>
      </c>
      <c r="T42" s="5">
        <f t="shared" si="51"/>
        <v>8118.3907635458745</v>
      </c>
      <c r="U42" s="5">
        <f t="shared" si="51"/>
        <v>9638.6317994497804</v>
      </c>
    </row>
    <row r="44" spans="2:21" x14ac:dyDescent="0.25">
      <c r="B44" s="1" t="s">
        <v>56</v>
      </c>
      <c r="C44" s="4">
        <f>+C15/C14</f>
        <v>0.19304702048417133</v>
      </c>
      <c r="D44" s="4">
        <f t="shared" ref="D44:J44" si="52">+D15/D14</f>
        <v>0.19831094485064896</v>
      </c>
      <c r="E44" s="4">
        <f t="shared" si="52"/>
        <v>0.20114228899690675</v>
      </c>
      <c r="F44" s="4">
        <f t="shared" si="52"/>
        <v>0.19743374000841396</v>
      </c>
      <c r="G44" s="4">
        <f t="shared" si="52"/>
        <v>0.21294575189469486</v>
      </c>
      <c r="H44" s="4">
        <f t="shared" si="52"/>
        <v>0.21916797797010226</v>
      </c>
      <c r="I44" s="4">
        <f t="shared" si="52"/>
        <v>0.19099041533546329</v>
      </c>
      <c r="J44" s="4">
        <f t="shared" si="52"/>
        <v>0.17441555450346127</v>
      </c>
      <c r="L44" s="12">
        <f t="shared" ref="L44:U44" si="53">+L15/L14</f>
        <v>0.19383369963986874</v>
      </c>
      <c r="M44" s="12">
        <f t="shared" si="53"/>
        <v>0.19879909688571101</v>
      </c>
      <c r="N44" s="12">
        <f t="shared" si="53"/>
        <v>0.19754242325007049</v>
      </c>
      <c r="O44" s="4">
        <f t="shared" si="53"/>
        <v>0.19775227207236665</v>
      </c>
      <c r="P44" s="4">
        <f t="shared" si="53"/>
        <v>0.18</v>
      </c>
      <c r="Q44" s="4">
        <f t="shared" si="53"/>
        <v>0.18</v>
      </c>
      <c r="R44" s="4">
        <f t="shared" si="53"/>
        <v>0.18</v>
      </c>
      <c r="S44" s="4">
        <f t="shared" si="53"/>
        <v>0.18</v>
      </c>
      <c r="T44" s="4">
        <f t="shared" si="53"/>
        <v>0.18</v>
      </c>
      <c r="U44" s="4">
        <f t="shared" si="53"/>
        <v>0.18</v>
      </c>
    </row>
    <row r="46" spans="2:21" x14ac:dyDescent="0.25">
      <c r="B46" s="1" t="s">
        <v>62</v>
      </c>
      <c r="L46" s="5">
        <v>144.38200000000001</v>
      </c>
      <c r="M46" s="5">
        <v>302.75099999999998</v>
      </c>
      <c r="N46" s="5">
        <v>427.39800000000002</v>
      </c>
      <c r="O46" s="5">
        <v>559.26599999999996</v>
      </c>
    </row>
    <row r="47" spans="2:21" x14ac:dyDescent="0.25">
      <c r="B47" s="1" t="s">
        <v>63</v>
      </c>
      <c r="L47" s="5">
        <v>123.315</v>
      </c>
      <c r="M47" s="5">
        <v>75.590999999999994</v>
      </c>
      <c r="N47" s="5">
        <v>115.758</v>
      </c>
      <c r="O47" s="5">
        <v>677.98800000000006</v>
      </c>
    </row>
    <row r="48" spans="2:21" x14ac:dyDescent="0.25">
      <c r="B48" s="1" t="s">
        <v>64</v>
      </c>
      <c r="L48" s="5">
        <f t="shared" ref="L48:M48" si="54">+L46+L47</f>
        <v>267.697</v>
      </c>
      <c r="M48" s="5">
        <f t="shared" si="54"/>
        <v>378.34199999999998</v>
      </c>
      <c r="N48" s="5">
        <f>+N46+N47</f>
        <v>543.15600000000006</v>
      </c>
      <c r="O48" s="5">
        <f t="shared" ref="O48" si="55">+O46+O47</f>
        <v>1237.2539999999999</v>
      </c>
    </row>
    <row r="49" spans="2:15" x14ac:dyDescent="0.25">
      <c r="B49" s="1" t="s">
        <v>65</v>
      </c>
      <c r="L49" s="4">
        <f t="shared" ref="L49:M49" si="56">+L48/L36</f>
        <v>0.49822353495141475</v>
      </c>
      <c r="M49" s="4">
        <f t="shared" si="56"/>
        <v>0.48472696617409278</v>
      </c>
      <c r="N49" s="4">
        <f>+N48/N36</f>
        <v>0.50561179608193596</v>
      </c>
      <c r="O49" s="4">
        <f t="shared" ref="O49" si="57">+O48/O36</f>
        <v>1.0115143438769754</v>
      </c>
    </row>
    <row r="51" spans="2:15" x14ac:dyDescent="0.25">
      <c r="B51" s="1" t="s">
        <v>9</v>
      </c>
      <c r="G51" s="4">
        <f t="shared" ref="G51:I51" si="58">+G6/C6-1</f>
        <v>9.9597006332757809E-2</v>
      </c>
      <c r="H51" s="4">
        <f t="shared" si="58"/>
        <v>9.1894977168949898E-2</v>
      </c>
      <c r="I51" s="4">
        <f t="shared" si="58"/>
        <v>0.11307824100514008</v>
      </c>
      <c r="J51" s="4">
        <f>+J6/F6-1</f>
        <v>8.6114101184068925E-2</v>
      </c>
      <c r="O51" s="4">
        <f>+O6/N6-1</f>
        <v>9.7492251338405334E-2</v>
      </c>
    </row>
    <row r="52" spans="2:15" x14ac:dyDescent="0.25">
      <c r="B52" s="1" t="s">
        <v>10</v>
      </c>
      <c r="G52" s="4">
        <f t="shared" ref="G52:J52" si="59">+G7/C7-1</f>
        <v>0.2831168831168831</v>
      </c>
      <c r="H52" s="4">
        <f t="shared" si="59"/>
        <v>0.22006079027355607</v>
      </c>
      <c r="I52" s="4">
        <f t="shared" si="59"/>
        <v>0.17489831493317842</v>
      </c>
      <c r="J52" s="4">
        <f t="shared" si="59"/>
        <v>0.11282333516785914</v>
      </c>
      <c r="O52" s="4">
        <f t="shared" ref="O52:O54" si="60">+O7/N7-1</f>
        <v>0.193961029302395</v>
      </c>
    </row>
    <row r="53" spans="2:15" x14ac:dyDescent="0.25">
      <c r="B53" s="1" t="s">
        <v>11</v>
      </c>
      <c r="G53" s="4">
        <f t="shared" ref="G53:J53" si="61">+G8/C8-1</f>
        <v>8.3769633507853491E-2</v>
      </c>
      <c r="H53" s="4">
        <f t="shared" si="61"/>
        <v>8.4684684684684708E-2</v>
      </c>
      <c r="I53" s="4">
        <f t="shared" si="61"/>
        <v>0.18464351005484447</v>
      </c>
      <c r="J53" s="4">
        <f t="shared" si="61"/>
        <v>0.19458544839255487</v>
      </c>
      <c r="O53" s="4">
        <f t="shared" si="60"/>
        <v>0.13724624889673454</v>
      </c>
    </row>
    <row r="54" spans="2:15" x14ac:dyDescent="0.25">
      <c r="B54" s="1" t="s">
        <v>12</v>
      </c>
      <c r="G54" s="4">
        <f t="shared" ref="G54:J54" si="62">+G9/C9-1</f>
        <v>0.10000000000000009</v>
      </c>
      <c r="H54" s="4">
        <f t="shared" si="62"/>
        <v>0.16932907348242821</v>
      </c>
      <c r="I54" s="4">
        <f t="shared" si="62"/>
        <v>8.7209302325581328E-2</v>
      </c>
      <c r="J54" s="4">
        <f t="shared" si="62"/>
        <v>0.19937694704049846</v>
      </c>
      <c r="O54" s="4">
        <f t="shared" si="60"/>
        <v>0.13849765258215974</v>
      </c>
    </row>
    <row r="56" spans="2:15" x14ac:dyDescent="0.25">
      <c r="B56" s="1" t="s">
        <v>7</v>
      </c>
      <c r="M56" s="5">
        <v>17026</v>
      </c>
      <c r="N56" s="5">
        <v>19221</v>
      </c>
      <c r="O56" s="5">
        <v>21252</v>
      </c>
    </row>
    <row r="58" spans="2:15" x14ac:dyDescent="0.25">
      <c r="B58" s="1" t="s">
        <v>67</v>
      </c>
      <c r="C58" s="5"/>
      <c r="D58" s="5"/>
      <c r="E58" s="5"/>
      <c r="F58" s="5"/>
      <c r="G58" s="5"/>
      <c r="H58" s="5"/>
      <c r="I58" s="5"/>
      <c r="J58" s="5"/>
      <c r="K58" s="5"/>
      <c r="L58" s="5"/>
      <c r="M58" s="5"/>
      <c r="N58" s="5"/>
      <c r="O58" s="5">
        <v>1700</v>
      </c>
    </row>
  </sheetData>
  <hyperlinks>
    <hyperlink ref="A1" location="main!A1" display="main" xr:uid="{4F7695B9-28A6-4DC3-8ADF-6D1FBA8A1116}"/>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2024-11-20T11:05:16Z</dcterms:created>
  <dcterms:modified xsi:type="dcterms:W3CDTF">2025-02-25T10:19:08Z</dcterms:modified>
</cp:coreProperties>
</file>