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https://phdisegutl-my.sharepoint.com/personal/l59357_aln_iseg_ulisboa_pt/Documents/Models/"/>
    </mc:Choice>
  </mc:AlternateContent>
  <xr:revisionPtr revIDLastSave="422" documentId="8_{760E6173-48F3-45EF-ACD2-77ECC05382A4}" xr6:coauthVersionLast="47" xr6:coauthVersionMax="47" xr10:uidLastSave="{A6C1A46F-E605-414B-851C-9FBB34C75F2A}"/>
  <bookViews>
    <workbookView xWindow="-108" yWindow="-108" windowWidth="23256" windowHeight="12456" activeTab="1" xr2:uid="{CE1AFF55-C03D-426D-99C1-13665EC808FB}"/>
  </bookViews>
  <sheets>
    <sheet name="main" sheetId="1" r:id="rId1"/>
    <sheet name="model"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81" i="2" l="1"/>
  <c r="L82" i="2" s="1"/>
  <c r="U4" i="2"/>
  <c r="V4" i="2" s="1"/>
  <c r="W4" i="2" s="1"/>
  <c r="X4" i="2" s="1"/>
  <c r="Y4" i="2" s="1"/>
  <c r="Z4" i="2" s="1"/>
  <c r="AA4" i="2" s="1"/>
  <c r="T4" i="2"/>
  <c r="S73" i="2"/>
  <c r="R73" i="2"/>
  <c r="L67" i="2" l="1"/>
  <c r="K81" i="2"/>
  <c r="J81" i="2"/>
  <c r="I81" i="2"/>
  <c r="H81" i="2"/>
  <c r="K80" i="2"/>
  <c r="J80" i="2"/>
  <c r="I80" i="2"/>
  <c r="H80" i="2"/>
  <c r="L80" i="2"/>
  <c r="K79" i="2"/>
  <c r="J79" i="2"/>
  <c r="I79" i="2"/>
  <c r="H79" i="2"/>
  <c r="L79" i="2"/>
  <c r="L34" i="2"/>
  <c r="K34" i="2"/>
  <c r="J34" i="2"/>
  <c r="I34" i="2"/>
  <c r="H34" i="2"/>
  <c r="G34" i="2"/>
  <c r="F34" i="2"/>
  <c r="E34" i="2"/>
  <c r="D34" i="2"/>
  <c r="C34" i="2"/>
  <c r="L33" i="2"/>
  <c r="K33" i="2"/>
  <c r="J33" i="2"/>
  <c r="I33" i="2"/>
  <c r="H33" i="2"/>
  <c r="G33" i="2"/>
  <c r="F33" i="2"/>
  <c r="E33" i="2"/>
  <c r="D33" i="2"/>
  <c r="C33" i="2"/>
  <c r="L32" i="2"/>
  <c r="K32" i="2"/>
  <c r="J32" i="2"/>
  <c r="I32" i="2"/>
  <c r="H32" i="2"/>
  <c r="G32" i="2"/>
  <c r="F32" i="2"/>
  <c r="E32" i="2"/>
  <c r="D32" i="2"/>
  <c r="C32" i="2"/>
  <c r="F50" i="2"/>
  <c r="F48" i="2"/>
  <c r="F46" i="2"/>
  <c r="E50" i="2"/>
  <c r="E48" i="2"/>
  <c r="E46" i="2"/>
  <c r="J28" i="2"/>
  <c r="I28" i="2"/>
  <c r="H28" i="2"/>
  <c r="G28" i="2"/>
  <c r="F22" i="2"/>
  <c r="F20" i="2"/>
  <c r="F17" i="2"/>
  <c r="F16" i="2"/>
  <c r="F15" i="2"/>
  <c r="F13" i="2"/>
  <c r="F5" i="2"/>
  <c r="F4" i="2"/>
  <c r="D50" i="2"/>
  <c r="D48" i="2"/>
  <c r="D46" i="2"/>
  <c r="P57" i="2"/>
  <c r="P65" i="2"/>
  <c r="P45" i="2"/>
  <c r="P37" i="2"/>
  <c r="P18" i="2" l="1"/>
  <c r="P12" i="2"/>
  <c r="P14" i="2" s="1"/>
  <c r="P29" i="2" s="1"/>
  <c r="P32" i="2" l="1"/>
  <c r="P33" i="2"/>
  <c r="P34" i="2"/>
  <c r="P19" i="2"/>
  <c r="J22" i="2"/>
  <c r="J20" i="2"/>
  <c r="J17" i="2"/>
  <c r="J16" i="2"/>
  <c r="J18" i="2" s="1"/>
  <c r="J15" i="2"/>
  <c r="J13" i="2"/>
  <c r="J5" i="2"/>
  <c r="J4" i="2"/>
  <c r="S70" i="2"/>
  <c r="T20" i="2" s="1"/>
  <c r="T16" i="2"/>
  <c r="U16" i="2" s="1"/>
  <c r="T15" i="2"/>
  <c r="U15" i="2" s="1"/>
  <c r="V15" i="2" s="1"/>
  <c r="W15" i="2" s="1"/>
  <c r="X15" i="2" s="1"/>
  <c r="Y15" i="2" s="1"/>
  <c r="Z15" i="2" s="1"/>
  <c r="AA15" i="2" s="1"/>
  <c r="S34" i="2"/>
  <c r="R34" i="2"/>
  <c r="T17" i="2"/>
  <c r="T5" i="2"/>
  <c r="U5" i="2" s="1"/>
  <c r="V5" i="2" s="1"/>
  <c r="W5" i="2" s="1"/>
  <c r="X5" i="2" s="1"/>
  <c r="Y5" i="2" s="1"/>
  <c r="Z5" i="2" s="1"/>
  <c r="AA5" i="2" s="1"/>
  <c r="J64" i="2"/>
  <c r="J63" i="2"/>
  <c r="J59" i="2"/>
  <c r="J56" i="2"/>
  <c r="J53" i="2"/>
  <c r="J51" i="2"/>
  <c r="J41" i="2"/>
  <c r="I42" i="2"/>
  <c r="J42" i="2" s="1"/>
  <c r="L75" i="2"/>
  <c r="L73" i="2"/>
  <c r="L27" i="2"/>
  <c r="S65" i="2"/>
  <c r="R65" i="2"/>
  <c r="Q65" i="2"/>
  <c r="Q45" i="2"/>
  <c r="Q37" i="2"/>
  <c r="R45" i="2"/>
  <c r="R37" i="2"/>
  <c r="S45" i="2"/>
  <c r="S37" i="2"/>
  <c r="S57" i="2"/>
  <c r="R57" i="2"/>
  <c r="Q57" i="2"/>
  <c r="R1" i="2"/>
  <c r="S1" i="2" s="1"/>
  <c r="T1" i="2" s="1"/>
  <c r="U1" i="2" s="1"/>
  <c r="V1" i="2" s="1"/>
  <c r="W1" i="2" s="1"/>
  <c r="X1" i="2" s="1"/>
  <c r="Y1" i="2" s="1"/>
  <c r="Z1" i="2" s="1"/>
  <c r="AA1" i="2" s="1"/>
  <c r="S18" i="2"/>
  <c r="R18" i="2"/>
  <c r="Q18" i="2"/>
  <c r="S12" i="2"/>
  <c r="S14" i="2" s="1"/>
  <c r="S29" i="2" s="1"/>
  <c r="R12" i="2"/>
  <c r="R14" i="2" s="1"/>
  <c r="R29" i="2" s="1"/>
  <c r="Q12" i="2"/>
  <c r="G45" i="2"/>
  <c r="H45" i="2" s="1"/>
  <c r="I45" i="2" s="1"/>
  <c r="G37" i="2"/>
  <c r="K45" i="2"/>
  <c r="L45" i="2" s="1"/>
  <c r="K37" i="2"/>
  <c r="L37" i="2" s="1"/>
  <c r="K12" i="2"/>
  <c r="K14" i="2" s="1"/>
  <c r="K29" i="2" s="1"/>
  <c r="I12" i="2"/>
  <c r="I14" i="2" s="1"/>
  <c r="I29" i="2" s="1"/>
  <c r="H12" i="2"/>
  <c r="H14" i="2" s="1"/>
  <c r="H29" i="2" s="1"/>
  <c r="G12" i="2"/>
  <c r="G14" i="2" s="1"/>
  <c r="G29" i="2" s="1"/>
  <c r="F12" i="2"/>
  <c r="F14" i="2" s="1"/>
  <c r="F29" i="2" s="1"/>
  <c r="E12" i="2"/>
  <c r="E14" i="2" s="1"/>
  <c r="E29" i="2" s="1"/>
  <c r="D12" i="2"/>
  <c r="D14" i="2" s="1"/>
  <c r="D29" i="2" s="1"/>
  <c r="C12" i="2"/>
  <c r="C14" i="2" s="1"/>
  <c r="C29" i="2" s="1"/>
  <c r="L12" i="2"/>
  <c r="L14" i="2" s="1"/>
  <c r="L29" i="2" s="1"/>
  <c r="H70" i="2"/>
  <c r="L70" i="2"/>
  <c r="H62" i="2"/>
  <c r="H61" i="2"/>
  <c r="H60" i="2"/>
  <c r="K65" i="2"/>
  <c r="G65" i="2"/>
  <c r="F65" i="2"/>
  <c r="E65" i="2"/>
  <c r="D65" i="2"/>
  <c r="C65" i="2"/>
  <c r="L62" i="2"/>
  <c r="L61" i="2"/>
  <c r="L60" i="2"/>
  <c r="H54" i="2"/>
  <c r="I54" i="2" s="1"/>
  <c r="H52" i="2"/>
  <c r="I52" i="2" s="1"/>
  <c r="H50" i="2"/>
  <c r="I50" i="2" s="1"/>
  <c r="J50" i="2" s="1"/>
  <c r="H49" i="2"/>
  <c r="H48" i="2"/>
  <c r="K57" i="2"/>
  <c r="G57" i="2"/>
  <c r="F57" i="2"/>
  <c r="E57" i="2"/>
  <c r="D57" i="2"/>
  <c r="C57" i="2"/>
  <c r="L56" i="2"/>
  <c r="L54" i="2"/>
  <c r="L52" i="2"/>
  <c r="L50" i="2"/>
  <c r="L49" i="2"/>
  <c r="L48" i="2"/>
  <c r="H44" i="2"/>
  <c r="I44" i="2" s="1"/>
  <c r="H43" i="2"/>
  <c r="I43" i="2" s="1"/>
  <c r="H40" i="2"/>
  <c r="I40" i="2" s="1"/>
  <c r="J40" i="2" s="1"/>
  <c r="H39" i="2"/>
  <c r="H38" i="2"/>
  <c r="F67" i="2"/>
  <c r="E67" i="2"/>
  <c r="D67" i="2"/>
  <c r="C67" i="2"/>
  <c r="L44" i="2"/>
  <c r="L43" i="2"/>
  <c r="L40" i="2"/>
  <c r="L39" i="2"/>
  <c r="L38" i="2"/>
  <c r="H36" i="2"/>
  <c r="I36" i="2" s="1"/>
  <c r="L36" i="2"/>
  <c r="K18" i="2"/>
  <c r="I18" i="2"/>
  <c r="H18" i="2"/>
  <c r="G18" i="2"/>
  <c r="F18" i="2"/>
  <c r="E18" i="2"/>
  <c r="D18" i="2"/>
  <c r="C18" i="2"/>
  <c r="L18" i="2"/>
  <c r="L10" i="1"/>
  <c r="L6" i="1"/>
  <c r="L4" i="1"/>
  <c r="L3" i="1" a="1"/>
  <c r="L3" i="1" s="1"/>
  <c r="L5" i="1" s="1"/>
  <c r="L8" i="1" s="1"/>
  <c r="S32" i="2" l="1"/>
  <c r="P21" i="2"/>
  <c r="P23" i="2" s="1"/>
  <c r="P30" i="2"/>
  <c r="Q14" i="2"/>
  <c r="Q29" i="2" s="1"/>
  <c r="Q28" i="2"/>
  <c r="R32" i="2"/>
  <c r="R33" i="2"/>
  <c r="S33" i="2"/>
  <c r="Q33" i="2"/>
  <c r="Q32" i="2"/>
  <c r="Q34" i="2"/>
  <c r="J12" i="2"/>
  <c r="J14" i="2" s="1"/>
  <c r="J29" i="2" s="1"/>
  <c r="V16" i="2"/>
  <c r="W16" i="2" s="1"/>
  <c r="X16" i="2" s="1"/>
  <c r="Y16" i="2" s="1"/>
  <c r="Z16" i="2" s="1"/>
  <c r="AA16" i="2" s="1"/>
  <c r="T18" i="2"/>
  <c r="G46" i="2"/>
  <c r="G67" i="2" s="1"/>
  <c r="J45" i="2"/>
  <c r="J44" i="2"/>
  <c r="U17" i="2"/>
  <c r="U18" i="2" s="1"/>
  <c r="U12" i="2"/>
  <c r="U33" i="2" s="1"/>
  <c r="T12" i="2"/>
  <c r="T33" i="2" s="1"/>
  <c r="J38" i="2"/>
  <c r="I61" i="2"/>
  <c r="J61" i="2" s="1"/>
  <c r="I62" i="2"/>
  <c r="J62" i="2" s="1"/>
  <c r="I48" i="2"/>
  <c r="J48" i="2" s="1"/>
  <c r="J52" i="2"/>
  <c r="I38" i="2"/>
  <c r="I49" i="2"/>
  <c r="J49" i="2" s="1"/>
  <c r="J43" i="2"/>
  <c r="I39" i="2"/>
  <c r="J39" i="2" s="1"/>
  <c r="J54" i="2"/>
  <c r="I60" i="2"/>
  <c r="J60" i="2" s="1"/>
  <c r="S28" i="2"/>
  <c r="K28" i="2"/>
  <c r="R28" i="2"/>
  <c r="S19" i="2"/>
  <c r="R19" i="2"/>
  <c r="Q19" i="2"/>
  <c r="H37" i="2"/>
  <c r="K46" i="2"/>
  <c r="K67" i="2" s="1"/>
  <c r="L28" i="2"/>
  <c r="L65" i="2"/>
  <c r="C19" i="2"/>
  <c r="K19" i="2"/>
  <c r="L19" i="2"/>
  <c r="L46" i="2"/>
  <c r="L57" i="2"/>
  <c r="I19" i="2"/>
  <c r="D19" i="2"/>
  <c r="F19" i="2"/>
  <c r="E19" i="2"/>
  <c r="G19" i="2"/>
  <c r="H19" i="2"/>
  <c r="H65" i="2"/>
  <c r="H57" i="2"/>
  <c r="P25" i="2" l="1"/>
  <c r="P36" i="2"/>
  <c r="P46" i="2" s="1"/>
  <c r="P67" i="2" s="1"/>
  <c r="J19" i="2"/>
  <c r="J21" i="2" s="1"/>
  <c r="J23" i="2" s="1"/>
  <c r="J25" i="2" s="1"/>
  <c r="U32" i="2"/>
  <c r="U34" i="2"/>
  <c r="T34" i="2"/>
  <c r="T32" i="2"/>
  <c r="V17" i="2"/>
  <c r="V18" i="2" s="1"/>
  <c r="J57" i="2"/>
  <c r="T13" i="2"/>
  <c r="T14" i="2" s="1"/>
  <c r="T28" i="2"/>
  <c r="U13" i="2"/>
  <c r="U14" i="2" s="1"/>
  <c r="U28" i="2"/>
  <c r="V12" i="2"/>
  <c r="I57" i="2"/>
  <c r="H46" i="2"/>
  <c r="H67" i="2" s="1"/>
  <c r="I37" i="2"/>
  <c r="I46" i="2" s="1"/>
  <c r="I67" i="2" s="1"/>
  <c r="H21" i="2"/>
  <c r="H23" i="2" s="1"/>
  <c r="H25" i="2" s="1"/>
  <c r="H30" i="2"/>
  <c r="I65" i="2"/>
  <c r="J65" i="2" s="1"/>
  <c r="L21" i="2"/>
  <c r="L23" i="2" s="1"/>
  <c r="L25" i="2" s="1"/>
  <c r="L30" i="2"/>
  <c r="E21" i="2"/>
  <c r="E23" i="2" s="1"/>
  <c r="E25" i="2" s="1"/>
  <c r="E30" i="2"/>
  <c r="K21" i="2"/>
  <c r="K23" i="2" s="1"/>
  <c r="K25" i="2" s="1"/>
  <c r="K30" i="2"/>
  <c r="F21" i="2"/>
  <c r="F23" i="2" s="1"/>
  <c r="F25" i="2" s="1"/>
  <c r="F30" i="2"/>
  <c r="C21" i="2"/>
  <c r="C23" i="2" s="1"/>
  <c r="C25" i="2" s="1"/>
  <c r="C30" i="2"/>
  <c r="D21" i="2"/>
  <c r="D23" i="2" s="1"/>
  <c r="D25" i="2" s="1"/>
  <c r="D30" i="2"/>
  <c r="G21" i="2"/>
  <c r="G23" i="2" s="1"/>
  <c r="G25" i="2" s="1"/>
  <c r="G30" i="2"/>
  <c r="I21" i="2"/>
  <c r="I23" i="2" s="1"/>
  <c r="I25" i="2" s="1"/>
  <c r="I30" i="2"/>
  <c r="R21" i="2"/>
  <c r="R23" i="2" s="1"/>
  <c r="R30" i="2"/>
  <c r="Q21" i="2"/>
  <c r="Q23" i="2" s="1"/>
  <c r="Q30" i="2"/>
  <c r="S21" i="2"/>
  <c r="S23" i="2" s="1"/>
  <c r="S30" i="2"/>
  <c r="J30" i="2" l="1"/>
  <c r="V32" i="2"/>
  <c r="V34" i="2"/>
  <c r="V33" i="2"/>
  <c r="W17" i="2"/>
  <c r="W18" i="2" s="1"/>
  <c r="U19" i="2"/>
  <c r="U29" i="2"/>
  <c r="T29" i="2"/>
  <c r="T19" i="2"/>
  <c r="V28" i="2"/>
  <c r="V13" i="2"/>
  <c r="V14" i="2" s="1"/>
  <c r="W12" i="2"/>
  <c r="J37" i="2"/>
  <c r="S25" i="2"/>
  <c r="S36" i="2"/>
  <c r="Q25" i="2"/>
  <c r="Q36" i="2"/>
  <c r="Q46" i="2" s="1"/>
  <c r="Q67" i="2" s="1"/>
  <c r="R25" i="2"/>
  <c r="R36" i="2"/>
  <c r="R46" i="2" s="1"/>
  <c r="R67" i="2" s="1"/>
  <c r="W34" i="2" l="1"/>
  <c r="W32" i="2"/>
  <c r="W33" i="2"/>
  <c r="U30" i="2"/>
  <c r="T21" i="2"/>
  <c r="T30" i="2"/>
  <c r="X17" i="2"/>
  <c r="X18" i="2" s="1"/>
  <c r="V29" i="2"/>
  <c r="V19" i="2"/>
  <c r="W13" i="2"/>
  <c r="W14" i="2" s="1"/>
  <c r="W28" i="2"/>
  <c r="X12" i="2"/>
  <c r="X33" i="2" s="1"/>
  <c r="S46" i="2"/>
  <c r="S67" i="2" s="1"/>
  <c r="J36" i="2"/>
  <c r="J46" i="2" s="1"/>
  <c r="J67" i="2" s="1"/>
  <c r="T22" i="2" l="1"/>
  <c r="T23" i="2" s="1"/>
  <c r="X34" i="2"/>
  <c r="X32" i="2"/>
  <c r="V30" i="2"/>
  <c r="Y17" i="2"/>
  <c r="Z17" i="2" s="1"/>
  <c r="W29" i="2"/>
  <c r="W19" i="2"/>
  <c r="X13" i="2"/>
  <c r="X14" i="2" s="1"/>
  <c r="X28" i="2"/>
  <c r="Y12" i="2"/>
  <c r="Y33" i="2" s="1"/>
  <c r="J68" i="2"/>
  <c r="K68" i="2"/>
  <c r="L68" i="2"/>
  <c r="T70" i="2" l="1"/>
  <c r="U20" i="2" s="1"/>
  <c r="U21" i="2" s="1"/>
  <c r="T25" i="2"/>
  <c r="Y34" i="2"/>
  <c r="Y32" i="2"/>
  <c r="W30" i="2"/>
  <c r="Y18" i="2"/>
  <c r="X29" i="2"/>
  <c r="X19" i="2"/>
  <c r="Y28" i="2"/>
  <c r="Y13" i="2"/>
  <c r="Y14" i="2" s="1"/>
  <c r="AA17" i="2"/>
  <c r="AA18" i="2" s="1"/>
  <c r="Z18" i="2"/>
  <c r="AA12" i="2"/>
  <c r="AA33" i="2" s="1"/>
  <c r="Z12" i="2"/>
  <c r="U22" i="2" l="1"/>
  <c r="U23" i="2" s="1"/>
  <c r="Z34" i="2"/>
  <c r="Z32" i="2"/>
  <c r="AA34" i="2"/>
  <c r="AA32" i="2"/>
  <c r="Z33" i="2"/>
  <c r="X30" i="2"/>
  <c r="Y29" i="2"/>
  <c r="Y19" i="2"/>
  <c r="Z28" i="2"/>
  <c r="Z13" i="2"/>
  <c r="Z14" i="2" s="1"/>
  <c r="AA13" i="2"/>
  <c r="AA14" i="2" s="1"/>
  <c r="AA28" i="2"/>
  <c r="U25" i="2" l="1"/>
  <c r="U70" i="2"/>
  <c r="V20" i="2" s="1"/>
  <c r="V21" i="2" s="1"/>
  <c r="Y30" i="2"/>
  <c r="AA19" i="2"/>
  <c r="AA29" i="2"/>
  <c r="Z19" i="2"/>
  <c r="Z29" i="2"/>
  <c r="V22" i="2" l="1"/>
  <c r="V23" i="2" s="1"/>
  <c r="Z30" i="2"/>
  <c r="AA30" i="2"/>
  <c r="V25" i="2" l="1"/>
  <c r="V70" i="2"/>
  <c r="W20" i="2" s="1"/>
  <c r="W21" i="2" s="1"/>
  <c r="W22" i="2" l="1"/>
  <c r="W23" i="2" s="1"/>
  <c r="W25" i="2" l="1"/>
  <c r="W70" i="2"/>
  <c r="X20" i="2" s="1"/>
  <c r="X21" i="2" s="1"/>
  <c r="X22" i="2" l="1"/>
  <c r="X23" i="2" s="1"/>
  <c r="X25" i="2" l="1"/>
  <c r="X70" i="2"/>
  <c r="Y20" i="2" s="1"/>
  <c r="Y21" i="2" s="1"/>
  <c r="Y22" i="2" l="1"/>
  <c r="Y23" i="2" s="1"/>
  <c r="Y25" i="2" l="1"/>
  <c r="Y70" i="2"/>
  <c r="Z20" i="2" s="1"/>
  <c r="Z21" i="2" s="1"/>
  <c r="Z22" i="2" l="1"/>
  <c r="Z23" i="2" s="1"/>
  <c r="Z25" i="2" l="1"/>
  <c r="Z70" i="2"/>
  <c r="AA20" i="2" s="1"/>
  <c r="AA21" i="2" s="1"/>
  <c r="AA22" i="2" l="1"/>
  <c r="AA23" i="2" s="1"/>
  <c r="AB23" i="2" s="1"/>
  <c r="AC23" i="2" s="1"/>
  <c r="AD23" i="2" s="1"/>
  <c r="AE23" i="2" s="1"/>
  <c r="AF23" i="2" s="1"/>
  <c r="AG23" i="2" s="1"/>
  <c r="AH23" i="2" s="1"/>
  <c r="AI23" i="2" s="1"/>
  <c r="AJ23" i="2" s="1"/>
  <c r="AK23" i="2" s="1"/>
  <c r="AL23" i="2" s="1"/>
  <c r="AM23" i="2" s="1"/>
  <c r="AN23" i="2" s="1"/>
  <c r="AO23" i="2" s="1"/>
  <c r="AP23" i="2" s="1"/>
  <c r="AQ23" i="2" s="1"/>
  <c r="AR23" i="2" s="1"/>
  <c r="AS23" i="2" s="1"/>
  <c r="AT23" i="2" s="1"/>
  <c r="AU23" i="2" s="1"/>
  <c r="AV23" i="2" s="1"/>
  <c r="AW23" i="2" s="1"/>
  <c r="AX23" i="2" s="1"/>
  <c r="AY23" i="2" s="1"/>
  <c r="AZ23" i="2" s="1"/>
  <c r="BA23" i="2" s="1"/>
  <c r="BB23" i="2" s="1"/>
  <c r="BC23" i="2" s="1"/>
  <c r="BD23" i="2" s="1"/>
  <c r="BE23" i="2" s="1"/>
  <c r="BF23" i="2" s="1"/>
  <c r="BG23" i="2" s="1"/>
  <c r="BH23" i="2" s="1"/>
  <c r="BI23" i="2" s="1"/>
  <c r="BJ23" i="2" s="1"/>
  <c r="BK23" i="2" s="1"/>
  <c r="BL23" i="2" s="1"/>
  <c r="BM23" i="2" s="1"/>
  <c r="BN23" i="2" s="1"/>
  <c r="BO23" i="2" s="1"/>
  <c r="BP23" i="2" s="1"/>
  <c r="BQ23" i="2" s="1"/>
  <c r="BR23" i="2" s="1"/>
  <c r="BS23" i="2" s="1"/>
  <c r="BT23" i="2" s="1"/>
  <c r="BU23" i="2" s="1"/>
  <c r="BV23" i="2" s="1"/>
  <c r="BW23" i="2" s="1"/>
  <c r="BX23" i="2" s="1"/>
  <c r="BY23" i="2" s="1"/>
  <c r="BZ23" i="2" s="1"/>
  <c r="CA23" i="2" s="1"/>
  <c r="AD5" i="2" s="1"/>
  <c r="AD6" i="2" s="1"/>
  <c r="AA25" i="2" l="1"/>
  <c r="AA70"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alexa</author>
  </authors>
  <commentList>
    <comment ref="M12" authorId="0" shapeId="0" xr:uid="{8AD74540-261D-4940-AD8F-441F09C61676}">
      <text>
        <r>
          <rPr>
            <b/>
            <sz val="9"/>
            <color indexed="81"/>
            <rFont val="Tahoma"/>
            <family val="2"/>
          </rPr>
          <t>alexa:</t>
        </r>
        <r>
          <rPr>
            <sz val="9"/>
            <color indexed="81"/>
            <rFont val="Tahoma"/>
            <family val="2"/>
          </rPr>
          <t xml:space="preserve">
$180-$183M ~17-19% y/y</t>
        </r>
      </text>
    </comment>
    <comment ref="T12" authorId="0" shapeId="0" xr:uid="{AF9DB974-0074-4D71-987A-B22913C37C49}">
      <text>
        <r>
          <rPr>
            <b/>
            <sz val="9"/>
            <color indexed="81"/>
            <rFont val="Tahoma"/>
            <family val="2"/>
          </rPr>
          <t>alexa:</t>
        </r>
        <r>
          <rPr>
            <sz val="9"/>
            <color indexed="81"/>
            <rFont val="Tahoma"/>
            <family val="2"/>
          </rPr>
          <t xml:space="preserve">
$707-$713M ~18,5%-19,5% y/y</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<sst xmlns="http://schemas.openxmlformats.org/spreadsheetml/2006/main" count="121" uniqueCount="116">
  <si>
    <t>Ticket</t>
  </si>
  <si>
    <t>Price</t>
  </si>
  <si>
    <t>S/O</t>
  </si>
  <si>
    <t>Cash</t>
  </si>
  <si>
    <t>Debt</t>
  </si>
  <si>
    <t>EV</t>
  </si>
  <si>
    <t>MC</t>
  </si>
  <si>
    <t>Notes:</t>
  </si>
  <si>
    <t>Alphabet holds 12,336 million shares</t>
  </si>
  <si>
    <t>Founded</t>
  </si>
  <si>
    <t>Founder</t>
  </si>
  <si>
    <t>HQ</t>
  </si>
  <si>
    <t>CEO</t>
  </si>
  <si>
    <t xml:space="preserve">IPO </t>
  </si>
  <si>
    <t>Business Model</t>
  </si>
  <si>
    <t>SaaS</t>
  </si>
  <si>
    <t>San Mateo, CA, US</t>
  </si>
  <si>
    <t>Products</t>
  </si>
  <si>
    <t>Freshdesk Support Desk</t>
  </si>
  <si>
    <t>Freshdesk Contact Center</t>
  </si>
  <si>
    <t>Freshdesk Omnichannel Suite</t>
  </si>
  <si>
    <t>Freshdesk Customer Success</t>
  </si>
  <si>
    <t>Freshsales</t>
  </si>
  <si>
    <t>Freshmarketer</t>
  </si>
  <si>
    <t>Freshsales Suite</t>
  </si>
  <si>
    <t>Freshteam</t>
  </si>
  <si>
    <t>Freshstatus</t>
  </si>
  <si>
    <t>Freshworks Neo</t>
  </si>
  <si>
    <t>main</t>
  </si>
  <si>
    <t>Q1 2022</t>
  </si>
  <si>
    <t>Q2 2022</t>
  </si>
  <si>
    <t>Q3 2022</t>
  </si>
  <si>
    <t>Q4 2022</t>
  </si>
  <si>
    <t>Q2 2023</t>
  </si>
  <si>
    <t>Q1 2023</t>
  </si>
  <si>
    <t>Q3 2023</t>
  </si>
  <si>
    <t>Q4 2023</t>
  </si>
  <si>
    <t>Q1 2024</t>
  </si>
  <si>
    <t>Q2 2024</t>
  </si>
  <si>
    <t>Q4 2024</t>
  </si>
  <si>
    <t>Q3 2024</t>
  </si>
  <si>
    <t>Revenue</t>
  </si>
  <si>
    <t>COGS</t>
  </si>
  <si>
    <t>Gross Profit</t>
  </si>
  <si>
    <t>R&amp;D</t>
  </si>
  <si>
    <t>S&amp;M</t>
  </si>
  <si>
    <t>G&amp;A</t>
  </si>
  <si>
    <t>Total Opex</t>
  </si>
  <si>
    <t>OpInc</t>
  </si>
  <si>
    <t>Interest Income</t>
  </si>
  <si>
    <t>Pretax Income</t>
  </si>
  <si>
    <t>Taxes</t>
  </si>
  <si>
    <t>Net Income</t>
  </si>
  <si>
    <t>Shares</t>
  </si>
  <si>
    <t>EPS</t>
  </si>
  <si>
    <t>Revenue y/y</t>
  </si>
  <si>
    <t>Gross Margin</t>
  </si>
  <si>
    <t>D&amp;A</t>
  </si>
  <si>
    <t>Non-cash lease expense</t>
  </si>
  <si>
    <t>SBC</t>
  </si>
  <si>
    <t>Amortization of MS</t>
  </si>
  <si>
    <t>Deferred Income Taxes</t>
  </si>
  <si>
    <t>Other</t>
  </si>
  <si>
    <t>WC</t>
  </si>
  <si>
    <t>CFFO</t>
  </si>
  <si>
    <t>Purchases of PPE</t>
  </si>
  <si>
    <t>Sales of PPE</t>
  </si>
  <si>
    <t>Capitalized internal-use of SW</t>
  </si>
  <si>
    <t>Purchases of MS</t>
  </si>
  <si>
    <t>Maturities of MS</t>
  </si>
  <si>
    <t>Business Combinations cash</t>
  </si>
  <si>
    <t>CFFI</t>
  </si>
  <si>
    <t xml:space="preserve">Issuance of stock </t>
  </si>
  <si>
    <t>Exercise of stock options</t>
  </si>
  <si>
    <t>Payment of withholding taxes</t>
  </si>
  <si>
    <t>CFFF</t>
  </si>
  <si>
    <t>FCF</t>
  </si>
  <si>
    <t>Subscription</t>
  </si>
  <si>
    <t>Professional services</t>
  </si>
  <si>
    <t>Net Cash</t>
  </si>
  <si>
    <t>Operating Margin</t>
  </si>
  <si>
    <t>NA</t>
  </si>
  <si>
    <t>EMEA</t>
  </si>
  <si>
    <t>AO</t>
  </si>
  <si>
    <t>Change in fair value of EQ</t>
  </si>
  <si>
    <t>Sale of MS</t>
  </si>
  <si>
    <t>Sales of MS</t>
  </si>
  <si>
    <t>Sales of non-MS</t>
  </si>
  <si>
    <t>Payment of deferred offering costs</t>
  </si>
  <si>
    <t>Payment of acquisition-related liabilities</t>
  </si>
  <si>
    <t>Proceeds from IPO</t>
  </si>
  <si>
    <t>Customers (000s)</t>
  </si>
  <si>
    <t>Customers y/y</t>
  </si>
  <si>
    <t>Customers +$5k ARR</t>
  </si>
  <si>
    <t>y/y</t>
  </si>
  <si>
    <t>Customers +$50k ARR</t>
  </si>
  <si>
    <t>NRR</t>
  </si>
  <si>
    <t>TTM FCF</t>
  </si>
  <si>
    <t>R&amp;D %</t>
  </si>
  <si>
    <t>S&amp;M %</t>
  </si>
  <si>
    <t>G&amp;A %</t>
  </si>
  <si>
    <t>Discount</t>
  </si>
  <si>
    <t>Maturity</t>
  </si>
  <si>
    <t>ROIC</t>
  </si>
  <si>
    <t>NPV</t>
  </si>
  <si>
    <t>EV/FCF</t>
  </si>
  <si>
    <t>Dennus Woodside</t>
  </si>
  <si>
    <t>Employees</t>
  </si>
  <si>
    <t>Girish Mathrubootham</t>
  </si>
  <si>
    <t>Acquired intangible assets</t>
  </si>
  <si>
    <t>Revenue per customer</t>
  </si>
  <si>
    <t>Avg Monthly revenue</t>
  </si>
  <si>
    <t>ARR per client</t>
  </si>
  <si>
    <t>Acquisitions</t>
  </si>
  <si>
    <t>06/24 acquired all outstanding shares of Device42 for $238,1M</t>
  </si>
  <si>
    <t>&lt;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</si>
</sst>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_([$$-409]* #,##0.00_);_([$$-409]* \(#,##0.00\);_([$$-409]* &quot;-&quot;??_);_(@_)"/>
    <numFmt numFmtId="165" formatCode="0.0%"/>
    <numFmt numFmtId="166" formatCode="_-[$$-409]* #,##0.00_ ;_-[$$-409]* \-#,##0.00\ ;_-[$$-409]* &quot;-&quot;??_ ;_-@_ "/>
    <numFmt numFmtId="167" formatCode="#,##0_ ;[Red]\-#,##0\ "/>
    <numFmt numFmtId="168" formatCode="0.0\x"/>
    <numFmt numFmtId="169" formatCode="[$$-409]#,##0"/>
    <numFmt numFmtId="170" formatCode="_-[$$-409]* #,##0_ ;_-[$$-409]* \-#,##0\ ;_-[$$-409]* &quot;-&quot;??_ ;_-@_ "/>
  </numFmts>
  <fonts count="8" x14ac:knownFonts="1">
    <font>
      <sz val="11"/>
      <color theme="1"/>
      <name val="Aptos Narrow"/>
      <family val="2"/>
      <scheme val="minor"/>
    </font>
    <font>
      <sz val="10"/>
      <color theme="1"/>
      <name val="Arial"/>
      <family val="2"/>
    </font>
    <font>
      <b/>
      <sz val="10"/>
      <color theme="1"/>
      <name val="Arial"/>
      <family val="2"/>
    </font>
    <font>
      <u/>
      <sz val="11"/>
      <color theme="10"/>
      <name val="Aptos Narrow"/>
      <family val="2"/>
      <scheme val="minor"/>
    </font>
    <font>
      <u/>
      <sz val="10"/>
      <color theme="10"/>
      <name val="Arial"/>
      <family val="2"/>
    </font>
    <font>
      <sz val="10"/>
      <name val="Arial"/>
      <family val="2"/>
    </font>
    <font>
      <sz val="9"/>
      <color indexed="81"/>
      <name val="Tahoma"/>
      <family val="2"/>
    </font>
    <font>
      <b/>
      <sz val="9"/>
      <color indexed="81"/>
      <name val="Tahoma"/>
      <family val="2"/>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7">
    <xf numFmtId="0" fontId="0" fillId="0" borderId="0" xfId="0"/>
    <xf numFmtId="0" fontId="1" fillId="0" borderId="0" xfId="0" applyFont="1"/>
    <xf numFmtId="164" fontId="1" fillId="0" borderId="0" xfId="0" applyNumberFormat="1" applyFont="1"/>
    <xf numFmtId="3" fontId="1" fillId="0" borderId="0" xfId="0" applyNumberFormat="1" applyFont="1"/>
    <xf numFmtId="0" fontId="2" fillId="0" borderId="0" xfId="0" applyFont="1"/>
    <xf numFmtId="0" fontId="4" fillId="0" borderId="0" xfId="1" applyFont="1"/>
    <xf numFmtId="3" fontId="2" fillId="0" borderId="0" xfId="0" applyNumberFormat="1" applyFont="1"/>
    <xf numFmtId="9" fontId="1" fillId="0" borderId="0" xfId="0" applyNumberFormat="1" applyFont="1"/>
    <xf numFmtId="165" fontId="1" fillId="0" borderId="0" xfId="0" applyNumberFormat="1" applyFont="1"/>
    <xf numFmtId="166" fontId="1" fillId="0" borderId="0" xfId="0" applyNumberFormat="1" applyFont="1"/>
    <xf numFmtId="0" fontId="5" fillId="0" borderId="0" xfId="1" applyFont="1"/>
    <xf numFmtId="10" fontId="1" fillId="0" borderId="0" xfId="0" applyNumberFormat="1" applyFont="1"/>
    <xf numFmtId="167" fontId="1" fillId="0" borderId="0" xfId="0" applyNumberFormat="1" applyFont="1"/>
    <xf numFmtId="168" fontId="1" fillId="0" borderId="0" xfId="0" applyNumberFormat="1" applyFont="1"/>
    <xf numFmtId="0" fontId="1" fillId="0" borderId="0" xfId="0" applyFont="1" applyAlignment="1">
      <alignment horizontal="left"/>
    </xf>
    <xf numFmtId="169" fontId="1" fillId="0" borderId="0" xfId="0" applyNumberFormat="1" applyFont="1"/>
    <xf numFmtId="170" fontId="1" fillId="0" borderId="0" xfId="0" applyNumberFormat="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drawings/drawing1.xml><?xml version="1.0" encoding="utf-8"?>
<xdr:wsDr xmlns:xdr="http://schemas.openxmlformats.org/drawingml/2006/spreadsheetDrawing" xmlns:a="http://schemas.openxmlformats.org/drawingml/2006/main">
  <xdr:twoCellAnchor>
    <xdr:from>
      <xdr:col>12</xdr:col>
      <xdr:colOff>0</xdr:colOff>
      <xdr:row>0</xdr:row>
      <xdr:rowOff>38100</xdr:rowOff>
    </xdr:from>
    <xdr:to>
      <xdr:col>12</xdr:col>
      <xdr:colOff>28575</xdr:colOff>
      <xdr:row>103</xdr:row>
      <xdr:rowOff>133350</xdr:rowOff>
    </xdr:to>
    <xdr:cxnSp macro="">
      <xdr:nvCxnSpPr>
        <xdr:cNvPr id="3" name="Straight Connector 2">
          <a:extLst>
            <a:ext uri="{FF2B5EF4-FFF2-40B4-BE49-F238E27FC236}">
              <a16:creationId xmlns:a16="http://schemas.microsoft.com/office/drawing/2014/main" id="{68FB59D0-B728-9634-218D-59F2FDCA7707}"/>
            </a:ext>
          </a:extLst>
        </xdr:cNvPr>
        <xdr:cNvCxnSpPr/>
      </xdr:nvCxnSpPr>
      <xdr:spPr>
        <a:xfrm>
          <a:off x="8477250" y="38100"/>
          <a:ext cx="28575" cy="15801975"/>
        </a:xfrm>
        <a:prstGeom prst="line">
          <a:avLst/>
        </a:prstGeom>
      </xdr:spPr>
      <xdr:style>
        <a:lnRef idx="2">
          <a:schemeClr val="accent1"/>
        </a:lnRef>
        <a:fillRef idx="0">
          <a:schemeClr val="accent1"/>
        </a:fillRef>
        <a:effectRef idx="1">
          <a:schemeClr val="accent1"/>
        </a:effectRef>
        <a:fontRef idx="minor">
          <a:schemeClr val="tx1"/>
        </a:fontRef>
      </xdr:style>
    </xdr:cxnSp>
    <xdr:clientData/>
  </xdr:twoCellAnchor>
  <xdr:twoCellAnchor>
    <xdr:from>
      <xdr:col>18</xdr:col>
      <xdr:colOff>600075</xdr:colOff>
      <xdr:row>0</xdr:row>
      <xdr:rowOff>0</xdr:rowOff>
    </xdr:from>
    <xdr:to>
      <xdr:col>19</xdr:col>
      <xdr:colOff>19050</xdr:colOff>
      <xdr:row>103</xdr:row>
      <xdr:rowOff>95250</xdr:rowOff>
    </xdr:to>
    <xdr:cxnSp macro="">
      <xdr:nvCxnSpPr>
        <xdr:cNvPr id="5" name="Straight Connector 4">
          <a:extLst>
            <a:ext uri="{FF2B5EF4-FFF2-40B4-BE49-F238E27FC236}">
              <a16:creationId xmlns:a16="http://schemas.microsoft.com/office/drawing/2014/main" id="{494D97E3-3181-456E-9974-CD479901525B}"/>
            </a:ext>
          </a:extLst>
        </xdr:cNvPr>
        <xdr:cNvCxnSpPr/>
      </xdr:nvCxnSpPr>
      <xdr:spPr>
        <a:xfrm>
          <a:off x="12734925" y="0"/>
          <a:ext cx="28575" cy="15801975"/>
        </a:xfrm>
        <a:prstGeom prst="line">
          <a:avLst/>
        </a:prstGeom>
      </xdr:spPr>
      <xdr:style>
        <a:lnRef idx="2">
          <a:schemeClr val="accent1"/>
        </a:lnRef>
        <a:fillRef idx="0">
          <a:schemeClr val="accent1"/>
        </a:fillRef>
        <a:effectRef idx="1">
          <a:schemeClr val="accent1"/>
        </a:effectRef>
        <a:fontRef idx="minor">
          <a:schemeClr val="tx1"/>
        </a:fontRef>
      </xdr:style>
    </xdr:cxnSp>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https://www.bing.com/financeapi/forcetrigger?t=c3bvmw&amp;q=XNAS%3aFRSH&amp;form=skydnc</v>
    <v>Learn more on Bing</v>
  </rv>
  <rv s="1">
    <v>en-GB</v>
    <v>c3bvmw</v>
    <v>268435456</v>
    <v>1</v>
    <v>Powered by Refinitiv</v>
    <v>0</v>
    <v>FRESHWORKS INC. (XNAS:FRSH)</v>
    <v>2</v>
    <v>3</v>
    <v>Finance</v>
    <v>4</v>
    <v>24.975000000000001</v>
    <v>10.81</v>
    <v>1.56</v>
    <v>-0.05</v>
    <v>0</v>
    <v>-4.4600000000000004E-3</v>
    <v>0</v>
    <v>USD</v>
    <v>Freshworks Inc. is a software development company. The Company provides software-as-a-service (SaaS) products that deliver artificial intelligence (AI)-guided customer and employee service solutions. It has a unified Customer Relationship Management (CRM) platform that encompasses support, sales, and marketing. Its customer service (CS) includes Freshworks Customer Service Suite, Freshdesk, Freshcaller, and Freshsuccess. Its messaging/chat product offerings include Freshchat. Its sales and marketing product offerings include Freshsales, Freshmarketer, and Freshsales Suite. Its information technology (IT) and employee service management (ITSM) product offerings include Freshservice and Freshservice for Business Teams. The Company’s Neo platform is the AI-powered, enterprise-grade foundation for all Freshworks products, which include an AI engine, a Developer platform, the Freshworks Marketplace, analytics service and unified customer experience services.</v>
    <v>4900</v>
    <v>Nasdaq Stock Market</v>
    <v>XNAS</v>
    <v>XNAS</v>
    <v>2950 S. Delaware St., Suite 201, SAN MATEO, CA, 94403 US</v>
    <v>11.18</v>
    <v>Software &amp; IT Services</v>
    <v>Stock</v>
    <v>45575.898074606252</v>
    <v>0</v>
    <v>10.81</v>
    <v>3371333328</v>
    <v>FRESHWORKS INC.</v>
    <v>FRESHWORKS INC.</v>
    <v>11.1</v>
    <v>0</v>
    <v>11.21</v>
    <v>11.16</v>
    <v>11.16</v>
    <v>302090800</v>
    <v>FRSH</v>
    <v>FRESHWORKS INC. (XNAS:FRSH)</v>
    <v>2944713</v>
    <v>2797475</v>
    <v>2010</v>
  </rv>
  <rv s="2">
    <v>1</v>
  </rv>
</rvData>
</file>

<file path=xl/richData/rdrichvaluestructure.xml><?xml version="1.0" encoding="utf-8"?>
<rvStructures xmlns="http://schemas.microsoft.com/office/spreadsheetml/2017/richdata" count="3">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dd/mm/yyyy\ h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36581A-A278-47D1-A812-87A6B480401E}">
  <dimension ref="B2:L29"/>
  <sheetViews>
    <sheetView showGridLines="0" workbookViewId="0">
      <selection activeCell="E12" sqref="E12"/>
    </sheetView>
  </sheetViews>
  <sheetFormatPr defaultColWidth="9.109375" defaultRowHeight="13.2" x14ac:dyDescent="0.25"/>
  <cols>
    <col min="1" max="1" width="9.109375" style="1"/>
    <col min="2" max="2" width="32.109375" style="1" bestFit="1" customWidth="1"/>
    <col min="3" max="6" width="9.109375" style="1"/>
    <col min="7" max="7" width="14.44140625" style="1" bestFit="1" customWidth="1"/>
    <col min="8" max="16384" width="9.109375" style="1"/>
  </cols>
  <sheetData>
    <row r="2" spans="2:12" x14ac:dyDescent="0.25">
      <c r="B2" s="4" t="s">
        <v>17</v>
      </c>
      <c r="G2" s="4" t="s">
        <v>9</v>
      </c>
      <c r="H2" s="14">
        <v>2010</v>
      </c>
      <c r="K2" s="4" t="s">
        <v>0</v>
      </c>
      <c r="L2" s="1" t="e" vm="1">
        <v>#VALUE!</v>
      </c>
    </row>
    <row r="3" spans="2:12" x14ac:dyDescent="0.25">
      <c r="B3" s="1" t="s">
        <v>18</v>
      </c>
      <c r="G3" s="4" t="s">
        <v>10</v>
      </c>
      <c r="H3" s="14" t="s">
        <v>108</v>
      </c>
      <c r="K3" s="4" t="s">
        <v>1</v>
      </c>
      <c r="L3" s="2" cm="1">
        <f t="array" aca="1" ref="L3" ca="1">+_FV(L2,"Price")</f>
        <v>11.16</v>
      </c>
    </row>
    <row r="4" spans="2:12" x14ac:dyDescent="0.25">
      <c r="B4" s="1" t="s">
        <v>19</v>
      </c>
      <c r="G4" s="4" t="s">
        <v>11</v>
      </c>
      <c r="H4" s="14" t="s">
        <v>16</v>
      </c>
      <c r="K4" s="4" t="s">
        <v>2</v>
      </c>
      <c r="L4" s="3">
        <f>222.762773+79.328031</f>
        <v>302.09080399999999</v>
      </c>
    </row>
    <row r="5" spans="2:12" x14ac:dyDescent="0.25">
      <c r="B5" s="1" t="s">
        <v>20</v>
      </c>
      <c r="G5" s="4" t="s">
        <v>12</v>
      </c>
      <c r="H5" s="14" t="s">
        <v>106</v>
      </c>
      <c r="K5" s="4" t="s">
        <v>6</v>
      </c>
      <c r="L5" s="3">
        <f ca="1">+L3*L4</f>
        <v>3371.3333726400001</v>
      </c>
    </row>
    <row r="6" spans="2:12" x14ac:dyDescent="0.25">
      <c r="B6" s="1" t="s">
        <v>21</v>
      </c>
      <c r="G6" s="4" t="s">
        <v>13</v>
      </c>
      <c r="H6" s="14">
        <v>2021</v>
      </c>
      <c r="K6" s="4" t="s">
        <v>3</v>
      </c>
      <c r="L6" s="3">
        <f>310.266+708.848</f>
        <v>1019.114</v>
      </c>
    </row>
    <row r="7" spans="2:12" x14ac:dyDescent="0.25">
      <c r="B7" s="1" t="s">
        <v>22</v>
      </c>
      <c r="G7" s="4" t="s">
        <v>14</v>
      </c>
      <c r="H7" s="14" t="s">
        <v>15</v>
      </c>
      <c r="K7" s="4" t="s">
        <v>4</v>
      </c>
      <c r="L7" s="3"/>
    </row>
    <row r="8" spans="2:12" x14ac:dyDescent="0.25">
      <c r="B8" s="1" t="s">
        <v>23</v>
      </c>
      <c r="G8" s="4" t="s">
        <v>107</v>
      </c>
      <c r="H8" s="14">
        <v>4900</v>
      </c>
      <c r="K8" s="4" t="s">
        <v>5</v>
      </c>
      <c r="L8" s="3">
        <f ca="1">+L5-L6</f>
        <v>2352.2193726400001</v>
      </c>
    </row>
    <row r="9" spans="2:12" x14ac:dyDescent="0.25">
      <c r="B9" s="1" t="s">
        <v>24</v>
      </c>
    </row>
    <row r="10" spans="2:12" x14ac:dyDescent="0.25">
      <c r="B10" s="1" t="s">
        <v>25</v>
      </c>
      <c r="K10" s="4" t="s">
        <v>105</v>
      </c>
      <c r="L10" s="13">
        <f>2376/122.16</f>
        <v>19.449901768172889</v>
      </c>
    </row>
    <row r="11" spans="2:12" x14ac:dyDescent="0.25">
      <c r="B11" s="1" t="s">
        <v>26</v>
      </c>
    </row>
    <row r="12" spans="2:12" x14ac:dyDescent="0.25">
      <c r="B12" s="1" t="s">
        <v>27</v>
      </c>
    </row>
    <row r="14" spans="2:12" x14ac:dyDescent="0.25">
      <c r="B14" s="4" t="s">
        <v>113</v>
      </c>
    </row>
    <row r="15" spans="2:12" x14ac:dyDescent="0.25">
      <c r="B15" s="1" t="s">
        <v>114</v>
      </c>
    </row>
    <row r="28" spans="2:2" x14ac:dyDescent="0.25">
      <c r="B28" s="4" t="s">
        <v>7</v>
      </c>
    </row>
    <row r="29" spans="2:2" x14ac:dyDescent="0.25">
      <c r="B29" s="1" t="s">
        <v>8</v>
      </c>
    </row>
  </sheetData>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026E2F-67B6-4BAC-88E7-DC7FF443A963}">
  <dimension ref="A1:CA82"/>
  <sheetViews>
    <sheetView tabSelected="1" topLeftCell="B1" zoomScale="90" zoomScaleNormal="90" workbookViewId="0">
      <pane xSplit="1" ySplit="1" topLeftCell="XEI58" activePane="bottomRight" state="frozen"/>
      <selection activeCell="B1" sqref="B1"/>
      <selection pane="topRight" activeCell="C1" sqref="C1"/>
      <selection pane="bottomLeft" activeCell="B2" sqref="B2"/>
      <selection pane="bottomRight" activeCell="XFD79" sqref="XFD79"/>
    </sheetView>
  </sheetViews>
  <sheetFormatPr defaultColWidth="9.109375" defaultRowHeight="13.2" x14ac:dyDescent="0.25"/>
  <cols>
    <col min="1" max="1" width="9.109375" style="1"/>
    <col min="2" max="2" width="26.5546875" style="1" bestFit="1" customWidth="1"/>
    <col min="3" max="7" width="9.109375" style="1"/>
    <col min="8" max="12" width="9.109375" style="1" customWidth="1"/>
    <col min="13" max="27" width="9.109375" style="1"/>
    <col min="28" max="28" width="10.33203125" style="1" bestFit="1" customWidth="1"/>
    <col min="29" max="29" width="9.109375" style="1"/>
    <col min="30" max="30" width="9.6640625" style="1" bestFit="1" customWidth="1"/>
    <col min="31" max="16384" width="9.109375" style="1"/>
  </cols>
  <sheetData>
    <row r="1" spans="1:30" x14ac:dyDescent="0.25">
      <c r="A1" s="5" t="s">
        <v>28</v>
      </c>
      <c r="B1" s="5"/>
      <c r="C1" s="4" t="s">
        <v>29</v>
      </c>
      <c r="D1" s="4" t="s">
        <v>30</v>
      </c>
      <c r="E1" s="4" t="s">
        <v>31</v>
      </c>
      <c r="F1" s="4" t="s">
        <v>32</v>
      </c>
      <c r="G1" s="4" t="s">
        <v>34</v>
      </c>
      <c r="H1" s="4" t="s">
        <v>33</v>
      </c>
      <c r="I1" s="4" t="s">
        <v>35</v>
      </c>
      <c r="J1" s="4" t="s">
        <v>36</v>
      </c>
      <c r="K1" s="4" t="s">
        <v>37</v>
      </c>
      <c r="L1" s="4" t="s">
        <v>38</v>
      </c>
      <c r="M1" s="4" t="s">
        <v>40</v>
      </c>
      <c r="N1" s="4" t="s">
        <v>39</v>
      </c>
      <c r="P1" s="4">
        <v>2020</v>
      </c>
      <c r="Q1" s="4">
        <v>2021</v>
      </c>
      <c r="R1" s="4">
        <f>+Q1+1</f>
        <v>2022</v>
      </c>
      <c r="S1" s="4">
        <f t="shared" ref="S1:Y1" si="0">+R1+1</f>
        <v>2023</v>
      </c>
      <c r="T1" s="4">
        <f t="shared" si="0"/>
        <v>2024</v>
      </c>
      <c r="U1" s="4">
        <f t="shared" si="0"/>
        <v>2025</v>
      </c>
      <c r="V1" s="4">
        <f t="shared" si="0"/>
        <v>2026</v>
      </c>
      <c r="W1" s="4">
        <f t="shared" si="0"/>
        <v>2027</v>
      </c>
      <c r="X1" s="4">
        <f t="shared" si="0"/>
        <v>2028</v>
      </c>
      <c r="Y1" s="4">
        <f t="shared" si="0"/>
        <v>2029</v>
      </c>
      <c r="Z1" s="4">
        <f t="shared" ref="Z1:AA1" si="1">+Y1+1</f>
        <v>2030</v>
      </c>
      <c r="AA1" s="4">
        <f t="shared" si="1"/>
        <v>2031</v>
      </c>
    </row>
    <row r="2" spans="1:30" x14ac:dyDescent="0.25">
      <c r="A2" s="5"/>
      <c r="B2" s="10" t="s">
        <v>91</v>
      </c>
      <c r="H2" s="1">
        <v>65.599999999999994</v>
      </c>
      <c r="I2" s="1">
        <v>66.599999999999994</v>
      </c>
      <c r="J2" s="1">
        <v>67.099999999999994</v>
      </c>
      <c r="K2" s="1">
        <v>67.5</v>
      </c>
      <c r="L2" s="1">
        <v>68.8</v>
      </c>
      <c r="AC2" s="1" t="s">
        <v>101</v>
      </c>
      <c r="AD2" s="8">
        <v>0.105</v>
      </c>
    </row>
    <row r="3" spans="1:30" x14ac:dyDescent="0.25">
      <c r="A3" s="5"/>
      <c r="B3" s="5"/>
      <c r="C3" s="4"/>
      <c r="D3" s="4"/>
      <c r="E3" s="4"/>
      <c r="F3" s="4"/>
      <c r="G3" s="4"/>
      <c r="H3" s="4"/>
      <c r="I3" s="4"/>
      <c r="J3" s="4"/>
      <c r="K3" s="4"/>
      <c r="L3" s="4"/>
      <c r="M3" s="4"/>
      <c r="N3" s="4"/>
      <c r="P3" s="4"/>
      <c r="Q3" s="4"/>
      <c r="R3" s="4"/>
      <c r="S3" s="4"/>
      <c r="T3" s="4"/>
      <c r="U3" s="4"/>
      <c r="V3" s="4"/>
      <c r="W3" s="4"/>
      <c r="X3" s="4"/>
      <c r="Y3" s="4"/>
      <c r="Z3" s="4"/>
      <c r="AA3" s="4"/>
      <c r="AC3" s="1" t="s">
        <v>102</v>
      </c>
      <c r="AD3" s="7">
        <v>0</v>
      </c>
    </row>
    <row r="4" spans="1:30" x14ac:dyDescent="0.25">
      <c r="B4" s="1" t="s">
        <v>77</v>
      </c>
      <c r="C4" s="3">
        <v>111.39700000000001</v>
      </c>
      <c r="D4" s="3">
        <v>118.393</v>
      </c>
      <c r="E4" s="3">
        <v>125.508</v>
      </c>
      <c r="F4" s="3">
        <f>+R4-E4-D4-C4</f>
        <v>130.024</v>
      </c>
      <c r="G4" s="3">
        <v>134.023</v>
      </c>
      <c r="H4" s="3">
        <v>141.69900000000001</v>
      </c>
      <c r="I4" s="3">
        <v>150.03299999999999</v>
      </c>
      <c r="J4" s="3">
        <f>+S4-SUM(G4:I4)</f>
        <v>157.11300000000006</v>
      </c>
      <c r="K4" s="3">
        <v>162.56899999999999</v>
      </c>
      <c r="L4" s="3">
        <v>171.60400000000001</v>
      </c>
      <c r="P4" s="3">
        <v>242.87899999999999</v>
      </c>
      <c r="Q4" s="3">
        <v>360.50599999999997</v>
      </c>
      <c r="R4" s="3">
        <v>485.322</v>
      </c>
      <c r="S4" s="3">
        <v>582.86800000000005</v>
      </c>
      <c r="T4" s="3">
        <f>+S4*1.19</f>
        <v>693.61292000000003</v>
      </c>
      <c r="U4" s="3">
        <f t="shared" ref="U4:AA4" si="2">+T4*1.19</f>
        <v>825.39937480000003</v>
      </c>
      <c r="V4" s="3">
        <f t="shared" si="2"/>
        <v>982.22525601200005</v>
      </c>
      <c r="W4" s="3">
        <f t="shared" si="2"/>
        <v>1168.8480546542801</v>
      </c>
      <c r="X4" s="3">
        <f t="shared" si="2"/>
        <v>1390.9291850385932</v>
      </c>
      <c r="Y4" s="3">
        <f t="shared" si="2"/>
        <v>1655.205730195926</v>
      </c>
      <c r="Z4" s="3">
        <f t="shared" si="2"/>
        <v>1969.6948189331517</v>
      </c>
      <c r="AA4" s="3">
        <f t="shared" si="2"/>
        <v>2343.9368345304506</v>
      </c>
      <c r="AC4" s="1" t="s">
        <v>103</v>
      </c>
      <c r="AD4" s="11">
        <v>0.05</v>
      </c>
    </row>
    <row r="5" spans="1:30" x14ac:dyDescent="0.25">
      <c r="B5" s="1" t="s">
        <v>78</v>
      </c>
      <c r="C5" s="3">
        <v>3.24</v>
      </c>
      <c r="D5" s="3">
        <v>3.0390000000000001</v>
      </c>
      <c r="E5" s="3">
        <v>3.2519999999999998</v>
      </c>
      <c r="F5" s="3">
        <f t="shared" ref="F5" si="3">+R5-E5-D5-C5</f>
        <v>3.1460000000000008</v>
      </c>
      <c r="G5" s="3">
        <v>3.669</v>
      </c>
      <c r="H5" s="3">
        <v>3.38</v>
      </c>
      <c r="I5" s="3">
        <v>3.5169999999999999</v>
      </c>
      <c r="J5" s="3">
        <f t="shared" ref="J5" si="4">+S5-SUM(G5:I5)</f>
        <v>2.9980000000000011</v>
      </c>
      <c r="K5" s="3">
        <v>2.5739999999999998</v>
      </c>
      <c r="L5" s="3">
        <v>2.5270000000000001</v>
      </c>
      <c r="P5" s="3">
        <v>6.78</v>
      </c>
      <c r="Q5" s="3">
        <v>10.516</v>
      </c>
      <c r="R5" s="3">
        <v>12.677</v>
      </c>
      <c r="S5" s="3">
        <v>13.564</v>
      </c>
      <c r="T5" s="3">
        <f>+S5*1.03</f>
        <v>13.97092</v>
      </c>
      <c r="U5" s="3">
        <f t="shared" ref="U5:AA5" si="5">+T5*1.03</f>
        <v>14.390047599999999</v>
      </c>
      <c r="V5" s="3">
        <f t="shared" si="5"/>
        <v>14.821749027999999</v>
      </c>
      <c r="W5" s="3">
        <f t="shared" si="5"/>
        <v>15.266401498840001</v>
      </c>
      <c r="X5" s="3">
        <f t="shared" si="5"/>
        <v>15.724393543805201</v>
      </c>
      <c r="Y5" s="3">
        <f t="shared" si="5"/>
        <v>16.196125350119356</v>
      </c>
      <c r="Z5" s="3">
        <f t="shared" si="5"/>
        <v>16.682009110622936</v>
      </c>
      <c r="AA5" s="3">
        <f t="shared" si="5"/>
        <v>17.182469383941623</v>
      </c>
      <c r="AC5" s="1" t="s">
        <v>104</v>
      </c>
      <c r="AD5" s="12">
        <f>+NPV(AD2,T23:CA23)+L70</f>
        <v>4796.2373720453234</v>
      </c>
    </row>
    <row r="6" spans="1:30" x14ac:dyDescent="0.25">
      <c r="AC6" s="1" t="s">
        <v>1</v>
      </c>
      <c r="AD6" s="9">
        <f>+AD5/main!L4</f>
        <v>15.876806935325723</v>
      </c>
    </row>
    <row r="7" spans="1:30" x14ac:dyDescent="0.25">
      <c r="B7" s="1" t="s">
        <v>81</v>
      </c>
      <c r="P7" s="3">
        <v>160.22399999999999</v>
      </c>
      <c r="Q7" s="3">
        <v>160.22399999999999</v>
      </c>
      <c r="R7" s="3">
        <v>216.11199999999999</v>
      </c>
      <c r="S7" s="3">
        <v>266.33100000000002</v>
      </c>
    </row>
    <row r="8" spans="1:30" x14ac:dyDescent="0.25">
      <c r="B8" s="1" t="s">
        <v>82</v>
      </c>
      <c r="P8" s="3">
        <v>152.542</v>
      </c>
      <c r="Q8" s="3">
        <v>152.542</v>
      </c>
      <c r="R8" s="3">
        <v>193.899</v>
      </c>
      <c r="S8" s="3">
        <v>229.983</v>
      </c>
    </row>
    <row r="9" spans="1:30" x14ac:dyDescent="0.25">
      <c r="B9" s="1" t="s">
        <v>83</v>
      </c>
      <c r="P9" s="3">
        <v>49.933</v>
      </c>
      <c r="Q9" s="3">
        <v>49.933</v>
      </c>
      <c r="R9" s="3">
        <v>74.947999999999993</v>
      </c>
      <c r="S9" s="3">
        <v>83.108999999999995</v>
      </c>
    </row>
    <row r="10" spans="1:30" x14ac:dyDescent="0.25">
      <c r="B10" s="1" t="s">
        <v>62</v>
      </c>
      <c r="P10" s="3">
        <v>8.3230000000000004</v>
      </c>
      <c r="Q10" s="3">
        <v>8.3230000000000004</v>
      </c>
      <c r="R10" s="3">
        <v>13.4</v>
      </c>
      <c r="S10" s="3">
        <v>17.009</v>
      </c>
    </row>
    <row r="12" spans="1:30" s="4" customFormat="1" x14ac:dyDescent="0.25">
      <c r="A12" s="1"/>
      <c r="B12" s="4" t="s">
        <v>41</v>
      </c>
      <c r="C12" s="6">
        <f t="shared" ref="C12:K12" si="6">+SUM(C4:C5)</f>
        <v>114.637</v>
      </c>
      <c r="D12" s="6">
        <f t="shared" si="6"/>
        <v>121.432</v>
      </c>
      <c r="E12" s="6">
        <f t="shared" si="6"/>
        <v>128.76</v>
      </c>
      <c r="F12" s="6">
        <f t="shared" si="6"/>
        <v>133.17000000000002</v>
      </c>
      <c r="G12" s="6">
        <f t="shared" si="6"/>
        <v>137.69200000000001</v>
      </c>
      <c r="H12" s="6">
        <f t="shared" si="6"/>
        <v>145.07900000000001</v>
      </c>
      <c r="I12" s="6">
        <f t="shared" si="6"/>
        <v>153.54999999999998</v>
      </c>
      <c r="J12" s="6">
        <f t="shared" si="6"/>
        <v>160.11100000000005</v>
      </c>
      <c r="K12" s="6">
        <f t="shared" si="6"/>
        <v>165.143</v>
      </c>
      <c r="L12" s="6">
        <f>+SUM(L4:L5)</f>
        <v>174.131</v>
      </c>
      <c r="M12" s="6"/>
      <c r="N12" s="6"/>
      <c r="P12" s="6">
        <f t="shared" ref="P12" si="7">+SUM(P4:P5)</f>
        <v>249.65899999999999</v>
      </c>
      <c r="Q12" s="6">
        <f t="shared" ref="Q12:Y12" si="8">+SUM(Q4:Q5)</f>
        <v>371.02199999999999</v>
      </c>
      <c r="R12" s="6">
        <f t="shared" si="8"/>
        <v>497.99900000000002</v>
      </c>
      <c r="S12" s="6">
        <f t="shared" si="8"/>
        <v>596.43200000000002</v>
      </c>
      <c r="T12" s="6">
        <f t="shared" si="8"/>
        <v>707.58384000000001</v>
      </c>
      <c r="U12" s="6">
        <f t="shared" si="8"/>
        <v>839.78942240000003</v>
      </c>
      <c r="V12" s="6">
        <f t="shared" si="8"/>
        <v>997.04700504000004</v>
      </c>
      <c r="W12" s="6">
        <f t="shared" si="8"/>
        <v>1184.11445615312</v>
      </c>
      <c r="X12" s="6">
        <f t="shared" si="8"/>
        <v>1406.6535785823985</v>
      </c>
      <c r="Y12" s="6">
        <f t="shared" si="8"/>
        <v>1671.4018555460452</v>
      </c>
      <c r="Z12" s="6">
        <f t="shared" ref="Z12:AA12" si="9">+SUM(Z4:Z5)</f>
        <v>1986.3768280437746</v>
      </c>
      <c r="AA12" s="6">
        <f t="shared" si="9"/>
        <v>2361.1193039143923</v>
      </c>
    </row>
    <row r="13" spans="1:30" x14ac:dyDescent="0.25">
      <c r="B13" s="1" t="s">
        <v>42</v>
      </c>
      <c r="C13" s="3">
        <v>22.395</v>
      </c>
      <c r="D13" s="3">
        <v>24.042000000000002</v>
      </c>
      <c r="E13" s="3">
        <v>24.178999999999998</v>
      </c>
      <c r="F13" s="3">
        <f>+R13-E13-D13-C13</f>
        <v>25.156000000000002</v>
      </c>
      <c r="G13" s="3">
        <v>25.236000000000001</v>
      </c>
      <c r="H13" s="3">
        <v>24.861000000000001</v>
      </c>
      <c r="I13" s="3">
        <v>26.263000000000002</v>
      </c>
      <c r="J13" s="3">
        <f>+S13-SUM(G13:I13)</f>
        <v>27.009</v>
      </c>
      <c r="K13" s="3">
        <v>25.89</v>
      </c>
      <c r="L13" s="3">
        <v>28.175000000000001</v>
      </c>
      <c r="M13" s="3"/>
      <c r="N13" s="3"/>
      <c r="P13" s="3">
        <v>52.491999999999997</v>
      </c>
      <c r="Q13" s="3">
        <v>78.03</v>
      </c>
      <c r="R13" s="3">
        <v>95.772000000000006</v>
      </c>
      <c r="S13" s="3">
        <v>103.369</v>
      </c>
      <c r="T13" s="3">
        <f>+T12*0.17</f>
        <v>120.28925280000001</v>
      </c>
      <c r="U13" s="3">
        <f t="shared" ref="U13:AA13" si="10">+U12*0.17</f>
        <v>142.76420180800002</v>
      </c>
      <c r="V13" s="3">
        <f t="shared" si="10"/>
        <v>169.49799085680002</v>
      </c>
      <c r="W13" s="3">
        <f t="shared" si="10"/>
        <v>201.29945754603042</v>
      </c>
      <c r="X13" s="3">
        <f t="shared" si="10"/>
        <v>239.13110835900775</v>
      </c>
      <c r="Y13" s="3">
        <f t="shared" si="10"/>
        <v>284.13831544282772</v>
      </c>
      <c r="Z13" s="3">
        <f t="shared" si="10"/>
        <v>337.68406076744168</v>
      </c>
      <c r="AA13" s="3">
        <f t="shared" si="10"/>
        <v>401.39028166544671</v>
      </c>
    </row>
    <row r="14" spans="1:30" x14ac:dyDescent="0.25">
      <c r="B14" s="1" t="s">
        <v>43</v>
      </c>
      <c r="C14" s="3">
        <f t="shared" ref="C14:K14" si="11">+C12-C13</f>
        <v>92.242000000000004</v>
      </c>
      <c r="D14" s="3">
        <f t="shared" si="11"/>
        <v>97.39</v>
      </c>
      <c r="E14" s="3">
        <f t="shared" si="11"/>
        <v>104.58099999999999</v>
      </c>
      <c r="F14" s="3">
        <f t="shared" si="11"/>
        <v>108.01400000000001</v>
      </c>
      <c r="G14" s="3">
        <f t="shared" si="11"/>
        <v>112.456</v>
      </c>
      <c r="H14" s="3">
        <f t="shared" si="11"/>
        <v>120.218</v>
      </c>
      <c r="I14" s="3">
        <f t="shared" si="11"/>
        <v>127.28699999999998</v>
      </c>
      <c r="J14" s="3">
        <f t="shared" si="11"/>
        <v>133.10200000000003</v>
      </c>
      <c r="K14" s="3">
        <f t="shared" si="11"/>
        <v>139.25299999999999</v>
      </c>
      <c r="L14" s="3">
        <f>+L12-L13</f>
        <v>145.95599999999999</v>
      </c>
      <c r="M14" s="3"/>
      <c r="N14" s="3"/>
      <c r="P14" s="3">
        <f t="shared" ref="P14:Q14" si="12">+P12-P13</f>
        <v>197.167</v>
      </c>
      <c r="Q14" s="3">
        <f t="shared" si="12"/>
        <v>292.99199999999996</v>
      </c>
      <c r="R14" s="3">
        <f t="shared" ref="R14" si="13">+R12-R13</f>
        <v>402.22700000000003</v>
      </c>
      <c r="S14" s="3">
        <f t="shared" ref="S14" si="14">+S12-S13</f>
        <v>493.06299999999999</v>
      </c>
      <c r="T14" s="3">
        <f t="shared" ref="T14" si="15">+T12-T13</f>
        <v>587.29458720000002</v>
      </c>
      <c r="U14" s="3">
        <f t="shared" ref="U14" si="16">+U12-U13</f>
        <v>697.02522059199998</v>
      </c>
      <c r="V14" s="3">
        <f t="shared" ref="V14" si="17">+V12-V13</f>
        <v>827.54901418320003</v>
      </c>
      <c r="W14" s="3">
        <f t="shared" ref="W14" si="18">+W12-W13</f>
        <v>982.81499860708959</v>
      </c>
      <c r="X14" s="3">
        <f t="shared" ref="X14" si="19">+X12-X13</f>
        <v>1167.5224702233907</v>
      </c>
      <c r="Y14" s="3">
        <f t="shared" ref="Y14" si="20">+Y12-Y13</f>
        <v>1387.2635401032176</v>
      </c>
      <c r="Z14" s="3">
        <f t="shared" ref="Z14" si="21">+Z12-Z13</f>
        <v>1648.6927672763329</v>
      </c>
      <c r="AA14" s="3">
        <f t="shared" ref="AA14" si="22">+AA12-AA13</f>
        <v>1959.7290222489455</v>
      </c>
    </row>
    <row r="15" spans="1:30" x14ac:dyDescent="0.25">
      <c r="B15" s="1" t="s">
        <v>44</v>
      </c>
      <c r="C15" s="3">
        <v>30.716999999999999</v>
      </c>
      <c r="D15" s="3">
        <v>34.296999999999997</v>
      </c>
      <c r="E15" s="3">
        <v>35.871000000000002</v>
      </c>
      <c r="F15" s="3">
        <f t="shared" ref="F15:F17" si="23">+R15-E15-D15-C15</f>
        <v>34.658000000000001</v>
      </c>
      <c r="G15" s="3">
        <v>32.856999999999999</v>
      </c>
      <c r="H15" s="3">
        <v>34.18</v>
      </c>
      <c r="I15" s="3">
        <v>34.884999999999998</v>
      </c>
      <c r="J15" s="3">
        <f t="shared" ref="J15:J17" si="24">+S15-SUM(G15:I15)</f>
        <v>35.834000000000003</v>
      </c>
      <c r="K15" s="3">
        <v>34.683999999999997</v>
      </c>
      <c r="L15" s="3">
        <v>40.993000000000002</v>
      </c>
      <c r="M15" s="3"/>
      <c r="N15" s="3"/>
      <c r="P15" s="3">
        <v>69.209999999999994</v>
      </c>
      <c r="Q15" s="3">
        <v>120.407</v>
      </c>
      <c r="R15" s="3">
        <v>135.54300000000001</v>
      </c>
      <c r="S15" s="3">
        <v>137.756</v>
      </c>
      <c r="T15" s="3">
        <f>+S15*1.05</f>
        <v>144.6438</v>
      </c>
      <c r="U15" s="3">
        <f t="shared" ref="U15" si="25">+T15*1.05</f>
        <v>151.87599</v>
      </c>
      <c r="V15" s="3">
        <f>+U15*1.06</f>
        <v>160.98854940000001</v>
      </c>
      <c r="W15" s="3">
        <f t="shared" ref="W15:AA15" si="26">+V15*1.06</f>
        <v>170.64786236400002</v>
      </c>
      <c r="X15" s="3">
        <f t="shared" si="26"/>
        <v>180.88673410584002</v>
      </c>
      <c r="Y15" s="3">
        <f t="shared" si="26"/>
        <v>191.73993815219043</v>
      </c>
      <c r="Z15" s="3">
        <f t="shared" si="26"/>
        <v>203.24433444132188</v>
      </c>
      <c r="AA15" s="3">
        <f t="shared" si="26"/>
        <v>215.4389945078012</v>
      </c>
    </row>
    <row r="16" spans="1:30" x14ac:dyDescent="0.25">
      <c r="B16" s="1" t="s">
        <v>45</v>
      </c>
      <c r="C16" s="3">
        <v>71.465999999999994</v>
      </c>
      <c r="D16" s="3">
        <v>90.037999999999997</v>
      </c>
      <c r="E16" s="3">
        <v>86.864999999999995</v>
      </c>
      <c r="F16" s="3">
        <f t="shared" si="23"/>
        <v>94.83799999999998</v>
      </c>
      <c r="G16" s="3">
        <v>86.81</v>
      </c>
      <c r="H16" s="3">
        <v>87.974999999999994</v>
      </c>
      <c r="I16" s="3">
        <v>90.673000000000002</v>
      </c>
      <c r="J16" s="3">
        <f t="shared" si="24"/>
        <v>92.323000000000036</v>
      </c>
      <c r="K16" s="3">
        <v>94.641999999999996</v>
      </c>
      <c r="L16" s="3">
        <v>104.248</v>
      </c>
      <c r="M16" s="3"/>
      <c r="N16" s="3"/>
      <c r="P16" s="3">
        <v>133.27699999999999</v>
      </c>
      <c r="Q16" s="3">
        <v>260.34500000000003</v>
      </c>
      <c r="R16" s="3">
        <v>343.20699999999999</v>
      </c>
      <c r="S16" s="3">
        <v>357.78100000000001</v>
      </c>
      <c r="T16" s="3">
        <f>+S16*1.1</f>
        <v>393.55910000000006</v>
      </c>
      <c r="U16" s="3">
        <f t="shared" ref="U16:AA16" si="27">+T16*1.1</f>
        <v>432.91501000000011</v>
      </c>
      <c r="V16" s="3">
        <f t="shared" si="27"/>
        <v>476.20651100000015</v>
      </c>
      <c r="W16" s="3">
        <f t="shared" si="27"/>
        <v>523.82716210000024</v>
      </c>
      <c r="X16" s="3">
        <f t="shared" si="27"/>
        <v>576.20987831000036</v>
      </c>
      <c r="Y16" s="3">
        <f t="shared" si="27"/>
        <v>633.83086614100046</v>
      </c>
      <c r="Z16" s="3">
        <f t="shared" si="27"/>
        <v>697.21395275510054</v>
      </c>
      <c r="AA16" s="3">
        <f t="shared" si="27"/>
        <v>766.93534803061061</v>
      </c>
    </row>
    <row r="17" spans="2:79" x14ac:dyDescent="0.25">
      <c r="B17" s="1" t="s">
        <v>46</v>
      </c>
      <c r="C17" s="3">
        <v>37.183</v>
      </c>
      <c r="D17" s="3">
        <v>40.406999999999996</v>
      </c>
      <c r="E17" s="3">
        <v>40.133000000000003</v>
      </c>
      <c r="F17" s="3">
        <f t="shared" si="23"/>
        <v>39.125999999999983</v>
      </c>
      <c r="G17" s="3">
        <v>40.896000000000001</v>
      </c>
      <c r="H17" s="3">
        <v>41.351999999999997</v>
      </c>
      <c r="I17" s="3">
        <v>40.463999999999999</v>
      </c>
      <c r="J17" s="3">
        <f t="shared" si="24"/>
        <v>44.986000000000018</v>
      </c>
      <c r="K17" s="3">
        <v>42.094000000000001</v>
      </c>
      <c r="L17" s="3">
        <v>44.502000000000002</v>
      </c>
      <c r="M17" s="3"/>
      <c r="N17" s="3"/>
      <c r="P17" s="3">
        <v>50.792000000000002</v>
      </c>
      <c r="Q17" s="3">
        <v>117.02200000000001</v>
      </c>
      <c r="R17" s="3">
        <v>156.84899999999999</v>
      </c>
      <c r="S17" s="3">
        <v>167.69800000000001</v>
      </c>
      <c r="T17" s="3">
        <f>+S17*1.05</f>
        <v>176.08290000000002</v>
      </c>
      <c r="U17" s="3">
        <f t="shared" ref="U17:AA17" si="28">+T17*1.05</f>
        <v>184.88704500000003</v>
      </c>
      <c r="V17" s="3">
        <f t="shared" si="28"/>
        <v>194.13139725000005</v>
      </c>
      <c r="W17" s="3">
        <f t="shared" si="28"/>
        <v>203.83796711250005</v>
      </c>
      <c r="X17" s="3">
        <f t="shared" si="28"/>
        <v>214.02986546812505</v>
      </c>
      <c r="Y17" s="3">
        <f t="shared" si="28"/>
        <v>224.73135874153132</v>
      </c>
      <c r="Z17" s="3">
        <f t="shared" si="28"/>
        <v>235.96792667860791</v>
      </c>
      <c r="AA17" s="3">
        <f t="shared" si="28"/>
        <v>247.76632301253832</v>
      </c>
    </row>
    <row r="18" spans="2:79" x14ac:dyDescent="0.25">
      <c r="B18" s="1" t="s">
        <v>47</v>
      </c>
      <c r="C18" s="3">
        <f t="shared" ref="C18:K18" si="29">+SUM(C15:C17)</f>
        <v>139.36599999999999</v>
      </c>
      <c r="D18" s="3">
        <f t="shared" si="29"/>
        <v>164.74199999999999</v>
      </c>
      <c r="E18" s="3">
        <f t="shared" si="29"/>
        <v>162.869</v>
      </c>
      <c r="F18" s="3">
        <f t="shared" si="29"/>
        <v>168.62199999999996</v>
      </c>
      <c r="G18" s="3">
        <f t="shared" si="29"/>
        <v>160.56299999999999</v>
      </c>
      <c r="H18" s="3">
        <f t="shared" si="29"/>
        <v>163.50700000000001</v>
      </c>
      <c r="I18" s="3">
        <f t="shared" si="29"/>
        <v>166.02199999999999</v>
      </c>
      <c r="J18" s="3">
        <f t="shared" si="29"/>
        <v>173.14300000000006</v>
      </c>
      <c r="K18" s="3">
        <f t="shared" si="29"/>
        <v>171.42</v>
      </c>
      <c r="L18" s="3">
        <f>+SUM(L15:L17)</f>
        <v>189.74300000000002</v>
      </c>
      <c r="M18" s="3"/>
      <c r="N18" s="3"/>
      <c r="P18" s="3">
        <f t="shared" ref="P18:Q18" si="30">+SUM(P15:P17)</f>
        <v>253.27899999999997</v>
      </c>
      <c r="Q18" s="3">
        <f t="shared" si="30"/>
        <v>497.774</v>
      </c>
      <c r="R18" s="3">
        <f t="shared" ref="R18" si="31">+SUM(R15:R17)</f>
        <v>635.59899999999993</v>
      </c>
      <c r="S18" s="3">
        <f t="shared" ref="S18" si="32">+SUM(S15:S17)</f>
        <v>663.23500000000001</v>
      </c>
      <c r="T18" s="3">
        <f t="shared" ref="T18" si="33">+SUM(T15:T17)</f>
        <v>714.28579999999999</v>
      </c>
      <c r="U18" s="3">
        <f t="shared" ref="U18" si="34">+SUM(U15:U17)</f>
        <v>769.67804500000022</v>
      </c>
      <c r="V18" s="3">
        <f t="shared" ref="V18" si="35">+SUM(V15:V17)</f>
        <v>831.32645765000018</v>
      </c>
      <c r="W18" s="3">
        <f t="shared" ref="W18" si="36">+SUM(W15:W17)</f>
        <v>898.31299157650028</v>
      </c>
      <c r="X18" s="3">
        <f t="shared" ref="X18" si="37">+SUM(X15:X17)</f>
        <v>971.12647788396544</v>
      </c>
      <c r="Y18" s="3">
        <f t="shared" ref="Y18" si="38">+SUM(Y15:Y17)</f>
        <v>1050.3021630347223</v>
      </c>
      <c r="Z18" s="3">
        <f t="shared" ref="Z18" si="39">+SUM(Z15:Z17)</f>
        <v>1136.4262138750303</v>
      </c>
      <c r="AA18" s="3">
        <f t="shared" ref="AA18" si="40">+SUM(AA15:AA17)</f>
        <v>1230.1406655509502</v>
      </c>
    </row>
    <row r="19" spans="2:79" x14ac:dyDescent="0.25">
      <c r="B19" s="1" t="s">
        <v>48</v>
      </c>
      <c r="C19" s="3">
        <f t="shared" ref="C19:K19" si="41">+C14-C18</f>
        <v>-47.123999999999981</v>
      </c>
      <c r="D19" s="3">
        <f t="shared" si="41"/>
        <v>-67.35199999999999</v>
      </c>
      <c r="E19" s="3">
        <f t="shared" si="41"/>
        <v>-58.288000000000011</v>
      </c>
      <c r="F19" s="3">
        <f t="shared" si="41"/>
        <v>-60.607999999999947</v>
      </c>
      <c r="G19" s="3">
        <f t="shared" si="41"/>
        <v>-48.106999999999985</v>
      </c>
      <c r="H19" s="3">
        <f t="shared" si="41"/>
        <v>-43.289000000000001</v>
      </c>
      <c r="I19" s="3">
        <f t="shared" si="41"/>
        <v>-38.735000000000014</v>
      </c>
      <c r="J19" s="3">
        <f t="shared" si="41"/>
        <v>-40.041000000000025</v>
      </c>
      <c r="K19" s="3">
        <f t="shared" si="41"/>
        <v>-32.167000000000002</v>
      </c>
      <c r="L19" s="3">
        <f>+L14-L18</f>
        <v>-43.787000000000035</v>
      </c>
      <c r="M19" s="3"/>
      <c r="N19" s="3"/>
      <c r="P19" s="3">
        <f t="shared" ref="P19:Q19" si="42">+P14-P18</f>
        <v>-56.111999999999966</v>
      </c>
      <c r="Q19" s="3">
        <f t="shared" si="42"/>
        <v>-204.78200000000004</v>
      </c>
      <c r="R19" s="3">
        <f t="shared" ref="R19" si="43">+R14-R18</f>
        <v>-233.3719999999999</v>
      </c>
      <c r="S19" s="3">
        <f t="shared" ref="S19" si="44">+S14-S18</f>
        <v>-170.17200000000003</v>
      </c>
      <c r="T19" s="3">
        <f t="shared" ref="T19" si="45">+T14-T18</f>
        <v>-126.99121279999997</v>
      </c>
      <c r="U19" s="3">
        <f t="shared" ref="U19" si="46">+U14-U18</f>
        <v>-72.652824408000242</v>
      </c>
      <c r="V19" s="3">
        <f t="shared" ref="V19" si="47">+V14-V18</f>
        <v>-3.7774434668001504</v>
      </c>
      <c r="W19" s="3">
        <f t="shared" ref="W19" si="48">+W14-W18</f>
        <v>84.502007030589311</v>
      </c>
      <c r="X19" s="3">
        <f t="shared" ref="X19" si="49">+X14-X18</f>
        <v>196.39599233942522</v>
      </c>
      <c r="Y19" s="3">
        <f t="shared" ref="Y19" si="50">+Y14-Y18</f>
        <v>336.96137706849527</v>
      </c>
      <c r="Z19" s="3">
        <f t="shared" ref="Z19" si="51">+Z14-Z18</f>
        <v>512.26655340130264</v>
      </c>
      <c r="AA19" s="3">
        <f t="shared" ref="AA19" si="52">+AA14-AA18</f>
        <v>729.58835669799532</v>
      </c>
    </row>
    <row r="20" spans="2:79" x14ac:dyDescent="0.25">
      <c r="B20" s="1" t="s">
        <v>49</v>
      </c>
      <c r="C20" s="3">
        <v>0.60199999999999998</v>
      </c>
      <c r="D20" s="3">
        <v>-0.24199999999999999</v>
      </c>
      <c r="E20" s="3">
        <v>2.2490000000000001</v>
      </c>
      <c r="F20" s="3">
        <f>+R20-E20-D20-C20</f>
        <v>9.972999999999999</v>
      </c>
      <c r="G20" s="3">
        <v>9.4789999999999992</v>
      </c>
      <c r="H20" s="3">
        <v>11.215999999999999</v>
      </c>
      <c r="I20" s="3">
        <v>10.993</v>
      </c>
      <c r="J20" s="3">
        <f>+S20-SUM(G20:I20)</f>
        <v>14.714999999999996</v>
      </c>
      <c r="K20" s="3">
        <v>12.795</v>
      </c>
      <c r="L20" s="3">
        <v>13.247</v>
      </c>
      <c r="M20" s="3"/>
      <c r="N20" s="3"/>
      <c r="P20" s="3">
        <v>2.8330000000000002</v>
      </c>
      <c r="Q20" s="3">
        <v>23.303000000000001</v>
      </c>
      <c r="R20" s="3">
        <v>12.582000000000001</v>
      </c>
      <c r="S20" s="3">
        <v>46.402999999999999</v>
      </c>
      <c r="T20" s="3">
        <f>+S70*$AD$4</f>
        <v>59.381349999999998</v>
      </c>
      <c r="U20" s="3">
        <f t="shared" ref="U20:AA20" si="53">+T70*$AD$4</f>
        <v>56.676955488000004</v>
      </c>
      <c r="V20" s="3">
        <f t="shared" si="53"/>
        <v>56.037920731199989</v>
      </c>
      <c r="W20" s="3">
        <f t="shared" si="53"/>
        <v>58.128339821775981</v>
      </c>
      <c r="X20" s="3">
        <f t="shared" si="53"/>
        <v>63.833553695870592</v>
      </c>
      <c r="Y20" s="3">
        <f t="shared" si="53"/>
        <v>74.242735537282428</v>
      </c>
      <c r="Z20" s="3">
        <f t="shared" si="53"/>
        <v>90.690900041513544</v>
      </c>
      <c r="AA20" s="3">
        <f t="shared" si="53"/>
        <v>114.80919817922619</v>
      </c>
    </row>
    <row r="21" spans="2:79" x14ac:dyDescent="0.25">
      <c r="B21" s="1" t="s">
        <v>50</v>
      </c>
      <c r="C21" s="3">
        <f t="shared" ref="C21:K21" si="54">+C19+C20</f>
        <v>-46.521999999999984</v>
      </c>
      <c r="D21" s="3">
        <f t="shared" si="54"/>
        <v>-67.593999999999994</v>
      </c>
      <c r="E21" s="3">
        <f t="shared" si="54"/>
        <v>-56.039000000000009</v>
      </c>
      <c r="F21" s="3">
        <f t="shared" si="54"/>
        <v>-50.634999999999948</v>
      </c>
      <c r="G21" s="3">
        <f t="shared" si="54"/>
        <v>-38.627999999999986</v>
      </c>
      <c r="H21" s="3">
        <f t="shared" si="54"/>
        <v>-32.073</v>
      </c>
      <c r="I21" s="3">
        <f t="shared" si="54"/>
        <v>-27.742000000000012</v>
      </c>
      <c r="J21" s="3">
        <f t="shared" si="54"/>
        <v>-25.326000000000029</v>
      </c>
      <c r="K21" s="3">
        <f t="shared" si="54"/>
        <v>-19.372</v>
      </c>
      <c r="L21" s="3">
        <f>+L19+L20</f>
        <v>-30.540000000000035</v>
      </c>
      <c r="M21" s="3"/>
      <c r="N21" s="3"/>
      <c r="P21" s="3">
        <f t="shared" ref="P21:Q21" si="55">+P19+P20</f>
        <v>-53.278999999999968</v>
      </c>
      <c r="Q21" s="3">
        <f t="shared" si="55"/>
        <v>-181.47900000000004</v>
      </c>
      <c r="R21" s="3">
        <f t="shared" ref="R21" si="56">+R19+R20</f>
        <v>-220.78999999999991</v>
      </c>
      <c r="S21" s="3">
        <f t="shared" ref="S21" si="57">+S19+S20</f>
        <v>-123.76900000000003</v>
      </c>
      <c r="T21" s="3">
        <f t="shared" ref="T21" si="58">+T19+T20</f>
        <v>-67.609862799999974</v>
      </c>
      <c r="U21" s="3">
        <f t="shared" ref="U21" si="59">+U19+U20</f>
        <v>-15.975868920000238</v>
      </c>
      <c r="V21" s="3">
        <f t="shared" ref="V21" si="60">+V19+V20</f>
        <v>52.260477264399839</v>
      </c>
      <c r="W21" s="3">
        <f t="shared" ref="W21" si="61">+W19+W20</f>
        <v>142.63034685236528</v>
      </c>
      <c r="X21" s="3">
        <f t="shared" ref="X21" si="62">+X19+X20</f>
        <v>260.22954603529581</v>
      </c>
      <c r="Y21" s="3">
        <f t="shared" ref="Y21" si="63">+Y19+Y20</f>
        <v>411.20411260577771</v>
      </c>
      <c r="Z21" s="3">
        <f t="shared" ref="Z21" si="64">+Z19+Z20</f>
        <v>602.95745344281613</v>
      </c>
      <c r="AA21" s="3">
        <f t="shared" ref="AA21" si="65">+AA19+AA20</f>
        <v>844.39755487722152</v>
      </c>
    </row>
    <row r="22" spans="2:79" x14ac:dyDescent="0.25">
      <c r="B22" s="1" t="s">
        <v>51</v>
      </c>
      <c r="C22" s="3">
        <v>2.5369999999999999</v>
      </c>
      <c r="D22" s="3">
        <v>2.1589999999999998</v>
      </c>
      <c r="E22" s="3">
        <v>1.804</v>
      </c>
      <c r="F22" s="3">
        <f>+R22-E22-D22-C22</f>
        <v>4.8420000000000005</v>
      </c>
      <c r="G22" s="3">
        <v>4.0359999999999996</v>
      </c>
      <c r="H22" s="3">
        <v>3.585</v>
      </c>
      <c r="I22" s="3">
        <v>3.2909999999999999</v>
      </c>
      <c r="J22" s="3">
        <f>+S22-SUM(G22:I22)</f>
        <v>2.7550000000000008</v>
      </c>
      <c r="K22" s="3">
        <v>3.9529999999999998</v>
      </c>
      <c r="L22" s="3">
        <v>-10.356</v>
      </c>
      <c r="M22" s="3"/>
      <c r="N22" s="3"/>
      <c r="P22" s="3">
        <v>4.0149999999999997</v>
      </c>
      <c r="Q22" s="3">
        <v>10.516</v>
      </c>
      <c r="R22" s="3">
        <v>11.342000000000001</v>
      </c>
      <c r="S22" s="3">
        <v>13.667</v>
      </c>
      <c r="T22" s="3">
        <f>+T21*0.2</f>
        <v>-13.521972559999995</v>
      </c>
      <c r="U22" s="3">
        <f t="shared" ref="U22:AA22" si="66">+U21*0.2</f>
        <v>-3.1951737840000476</v>
      </c>
      <c r="V22" s="3">
        <f t="shared" si="66"/>
        <v>10.452095452879968</v>
      </c>
      <c r="W22" s="3">
        <f t="shared" si="66"/>
        <v>28.526069370473056</v>
      </c>
      <c r="X22" s="3">
        <f t="shared" si="66"/>
        <v>52.045909207059168</v>
      </c>
      <c r="Y22" s="3">
        <f t="shared" si="66"/>
        <v>82.24082252115555</v>
      </c>
      <c r="Z22" s="3">
        <f t="shared" si="66"/>
        <v>120.59149068856323</v>
      </c>
      <c r="AA22" s="3">
        <f t="shared" si="66"/>
        <v>168.8795109754443</v>
      </c>
    </row>
    <row r="23" spans="2:79" x14ac:dyDescent="0.25">
      <c r="B23" s="4" t="s">
        <v>52</v>
      </c>
      <c r="C23" s="6">
        <f t="shared" ref="C23:K23" si="67">+C21-C22</f>
        <v>-49.058999999999983</v>
      </c>
      <c r="D23" s="6">
        <f t="shared" si="67"/>
        <v>-69.753</v>
      </c>
      <c r="E23" s="6">
        <f t="shared" si="67"/>
        <v>-57.843000000000011</v>
      </c>
      <c r="F23" s="6">
        <f t="shared" si="67"/>
        <v>-55.476999999999947</v>
      </c>
      <c r="G23" s="6">
        <f t="shared" si="67"/>
        <v>-42.663999999999987</v>
      </c>
      <c r="H23" s="6">
        <f t="shared" si="67"/>
        <v>-35.658000000000001</v>
      </c>
      <c r="I23" s="6">
        <f t="shared" si="67"/>
        <v>-31.033000000000012</v>
      </c>
      <c r="J23" s="6">
        <f t="shared" si="67"/>
        <v>-28.081000000000031</v>
      </c>
      <c r="K23" s="6">
        <f t="shared" si="67"/>
        <v>-23.324999999999999</v>
      </c>
      <c r="L23" s="6">
        <f>+L21-L22</f>
        <v>-20.184000000000033</v>
      </c>
      <c r="M23" s="6"/>
      <c r="N23" s="6"/>
      <c r="O23" s="4"/>
      <c r="P23" s="6">
        <f t="shared" ref="P23:Q23" si="68">+P21-P22</f>
        <v>-57.293999999999969</v>
      </c>
      <c r="Q23" s="6">
        <f t="shared" si="68"/>
        <v>-191.99500000000003</v>
      </c>
      <c r="R23" s="6">
        <f t="shared" ref="R23" si="69">+R21-R22</f>
        <v>-232.13199999999992</v>
      </c>
      <c r="S23" s="6">
        <f t="shared" ref="S23" si="70">+S21-S22</f>
        <v>-137.43600000000004</v>
      </c>
      <c r="T23" s="6">
        <f t="shared" ref="T23" si="71">+T21-T22</f>
        <v>-54.087890239999979</v>
      </c>
      <c r="U23" s="6">
        <f t="shared" ref="U23" si="72">+U21-U22</f>
        <v>-12.78069513600019</v>
      </c>
      <c r="V23" s="6">
        <f t="shared" ref="V23" si="73">+V21-V22</f>
        <v>41.808381811519872</v>
      </c>
      <c r="W23" s="6">
        <f t="shared" ref="W23" si="74">+W21-W22</f>
        <v>114.10427748189223</v>
      </c>
      <c r="X23" s="6">
        <f t="shared" ref="X23" si="75">+X21-X22</f>
        <v>208.18363682823664</v>
      </c>
      <c r="Y23" s="6">
        <f t="shared" ref="Y23" si="76">+Y21-Y22</f>
        <v>328.96329008462214</v>
      </c>
      <c r="Z23" s="6">
        <f t="shared" ref="Z23" si="77">+Z21-Z22</f>
        <v>482.36596275425291</v>
      </c>
      <c r="AA23" s="6">
        <f t="shared" ref="AA23" si="78">+AA21-AA22</f>
        <v>675.51804390177722</v>
      </c>
      <c r="AB23" s="6">
        <f>+AA23*(1+$AD$3)</f>
        <v>675.51804390177722</v>
      </c>
      <c r="AC23" s="6">
        <f t="shared" ref="AC23:CA23" si="79">+AB23*(1+$AD$3)</f>
        <v>675.51804390177722</v>
      </c>
      <c r="AD23" s="6">
        <f t="shared" si="79"/>
        <v>675.51804390177722</v>
      </c>
      <c r="AE23" s="6">
        <f t="shared" si="79"/>
        <v>675.51804390177722</v>
      </c>
      <c r="AF23" s="6">
        <f t="shared" si="79"/>
        <v>675.51804390177722</v>
      </c>
      <c r="AG23" s="6">
        <f t="shared" si="79"/>
        <v>675.51804390177722</v>
      </c>
      <c r="AH23" s="6">
        <f t="shared" si="79"/>
        <v>675.51804390177722</v>
      </c>
      <c r="AI23" s="6">
        <f t="shared" si="79"/>
        <v>675.51804390177722</v>
      </c>
      <c r="AJ23" s="6">
        <f t="shared" si="79"/>
        <v>675.51804390177722</v>
      </c>
      <c r="AK23" s="6">
        <f t="shared" si="79"/>
        <v>675.51804390177722</v>
      </c>
      <c r="AL23" s="6">
        <f t="shared" si="79"/>
        <v>675.51804390177722</v>
      </c>
      <c r="AM23" s="6">
        <f t="shared" si="79"/>
        <v>675.51804390177722</v>
      </c>
      <c r="AN23" s="6">
        <f t="shared" si="79"/>
        <v>675.51804390177722</v>
      </c>
      <c r="AO23" s="6">
        <f t="shared" si="79"/>
        <v>675.51804390177722</v>
      </c>
      <c r="AP23" s="6">
        <f t="shared" si="79"/>
        <v>675.51804390177722</v>
      </c>
      <c r="AQ23" s="6">
        <f t="shared" si="79"/>
        <v>675.51804390177722</v>
      </c>
      <c r="AR23" s="6">
        <f t="shared" si="79"/>
        <v>675.51804390177722</v>
      </c>
      <c r="AS23" s="6">
        <f t="shared" si="79"/>
        <v>675.51804390177722</v>
      </c>
      <c r="AT23" s="6">
        <f t="shared" si="79"/>
        <v>675.51804390177722</v>
      </c>
      <c r="AU23" s="6">
        <f t="shared" si="79"/>
        <v>675.51804390177722</v>
      </c>
      <c r="AV23" s="6">
        <f t="shared" si="79"/>
        <v>675.51804390177722</v>
      </c>
      <c r="AW23" s="6">
        <f t="shared" si="79"/>
        <v>675.51804390177722</v>
      </c>
      <c r="AX23" s="6">
        <f t="shared" si="79"/>
        <v>675.51804390177722</v>
      </c>
      <c r="AY23" s="6">
        <f t="shared" si="79"/>
        <v>675.51804390177722</v>
      </c>
      <c r="AZ23" s="6">
        <f t="shared" si="79"/>
        <v>675.51804390177722</v>
      </c>
      <c r="BA23" s="6">
        <f t="shared" si="79"/>
        <v>675.51804390177722</v>
      </c>
      <c r="BB23" s="6">
        <f t="shared" si="79"/>
        <v>675.51804390177722</v>
      </c>
      <c r="BC23" s="6">
        <f t="shared" si="79"/>
        <v>675.51804390177722</v>
      </c>
      <c r="BD23" s="6">
        <f t="shared" si="79"/>
        <v>675.51804390177722</v>
      </c>
      <c r="BE23" s="6">
        <f t="shared" si="79"/>
        <v>675.51804390177722</v>
      </c>
      <c r="BF23" s="6">
        <f t="shared" si="79"/>
        <v>675.51804390177722</v>
      </c>
      <c r="BG23" s="6">
        <f t="shared" si="79"/>
        <v>675.51804390177722</v>
      </c>
      <c r="BH23" s="6">
        <f t="shared" si="79"/>
        <v>675.51804390177722</v>
      </c>
      <c r="BI23" s="6">
        <f t="shared" si="79"/>
        <v>675.51804390177722</v>
      </c>
      <c r="BJ23" s="6">
        <f t="shared" si="79"/>
        <v>675.51804390177722</v>
      </c>
      <c r="BK23" s="6">
        <f t="shared" si="79"/>
        <v>675.51804390177722</v>
      </c>
      <c r="BL23" s="6">
        <f t="shared" si="79"/>
        <v>675.51804390177722</v>
      </c>
      <c r="BM23" s="6">
        <f t="shared" si="79"/>
        <v>675.51804390177722</v>
      </c>
      <c r="BN23" s="6">
        <f t="shared" si="79"/>
        <v>675.51804390177722</v>
      </c>
      <c r="BO23" s="6">
        <f t="shared" si="79"/>
        <v>675.51804390177722</v>
      </c>
      <c r="BP23" s="6">
        <f t="shared" si="79"/>
        <v>675.51804390177722</v>
      </c>
      <c r="BQ23" s="6">
        <f t="shared" si="79"/>
        <v>675.51804390177722</v>
      </c>
      <c r="BR23" s="6">
        <f t="shared" si="79"/>
        <v>675.51804390177722</v>
      </c>
      <c r="BS23" s="6">
        <f t="shared" si="79"/>
        <v>675.51804390177722</v>
      </c>
      <c r="BT23" s="6">
        <f t="shared" si="79"/>
        <v>675.51804390177722</v>
      </c>
      <c r="BU23" s="6">
        <f t="shared" si="79"/>
        <v>675.51804390177722</v>
      </c>
      <c r="BV23" s="6">
        <f t="shared" si="79"/>
        <v>675.51804390177722</v>
      </c>
      <c r="BW23" s="6">
        <f t="shared" si="79"/>
        <v>675.51804390177722</v>
      </c>
      <c r="BX23" s="6">
        <f t="shared" si="79"/>
        <v>675.51804390177722</v>
      </c>
      <c r="BY23" s="6">
        <f t="shared" si="79"/>
        <v>675.51804390177722</v>
      </c>
      <c r="BZ23" s="6">
        <f t="shared" si="79"/>
        <v>675.51804390177722</v>
      </c>
      <c r="CA23" s="6">
        <f t="shared" si="79"/>
        <v>675.51804390177722</v>
      </c>
    </row>
    <row r="24" spans="2:79" x14ac:dyDescent="0.25">
      <c r="B24" s="1" t="s">
        <v>53</v>
      </c>
      <c r="C24" s="3">
        <v>278.18599999999998</v>
      </c>
      <c r="D24" s="3">
        <v>284.76100000000002</v>
      </c>
      <c r="E24" s="3">
        <v>286.697</v>
      </c>
      <c r="F24" s="3"/>
      <c r="G24" s="3">
        <v>290.13299999999998</v>
      </c>
      <c r="H24" s="3">
        <v>291.995</v>
      </c>
      <c r="I24" s="3">
        <v>294.14600000000002</v>
      </c>
      <c r="J24" s="3"/>
      <c r="K24" s="3">
        <v>297.87</v>
      </c>
      <c r="L24" s="3">
        <v>299.80500000000001</v>
      </c>
      <c r="M24" s="3"/>
      <c r="N24" s="3"/>
      <c r="P24" s="3">
        <v>76.944999999999993</v>
      </c>
      <c r="Q24" s="3">
        <v>130.65199999999999</v>
      </c>
      <c r="R24" s="3">
        <v>284.58699999999999</v>
      </c>
      <c r="S24" s="3">
        <v>293.08699999999999</v>
      </c>
      <c r="T24" s="3"/>
      <c r="U24" s="3"/>
      <c r="V24" s="3"/>
      <c r="W24" s="3"/>
      <c r="X24" s="3"/>
      <c r="Y24" s="3"/>
      <c r="Z24" s="3"/>
      <c r="AA24" s="3"/>
    </row>
    <row r="25" spans="2:79" x14ac:dyDescent="0.25">
      <c r="B25" s="1" t="s">
        <v>54</v>
      </c>
      <c r="C25" s="9">
        <f t="shared" ref="C25:K25" si="80">+C23/C24</f>
        <v>-0.17635323129129427</v>
      </c>
      <c r="D25" s="9">
        <f t="shared" si="80"/>
        <v>-0.24495278496704251</v>
      </c>
      <c r="E25" s="9">
        <f t="shared" si="80"/>
        <v>-0.20175655831766642</v>
      </c>
      <c r="F25" s="9" t="e">
        <f t="shared" si="80"/>
        <v>#DIV/0!</v>
      </c>
      <c r="G25" s="9">
        <f t="shared" si="80"/>
        <v>-0.14704980129802536</v>
      </c>
      <c r="H25" s="9">
        <f t="shared" si="80"/>
        <v>-0.12211852942687375</v>
      </c>
      <c r="I25" s="9">
        <f t="shared" si="80"/>
        <v>-0.10550202960434618</v>
      </c>
      <c r="J25" s="9" t="e">
        <f t="shared" si="80"/>
        <v>#DIV/0!</v>
      </c>
      <c r="K25" s="9">
        <f t="shared" si="80"/>
        <v>-7.8305972404068891E-2</v>
      </c>
      <c r="L25" s="9">
        <f>+L23/L24</f>
        <v>-6.7323760444288894E-2</v>
      </c>
      <c r="M25" s="3"/>
      <c r="N25" s="3"/>
      <c r="P25" s="9">
        <f t="shared" ref="P25:Q25" si="81">+P23/P24</f>
        <v>-0.74460978621092955</v>
      </c>
      <c r="Q25" s="9">
        <f t="shared" si="81"/>
        <v>-1.4695144352937579</v>
      </c>
      <c r="R25" s="9">
        <f t="shared" ref="R25" si="82">+R23/R24</f>
        <v>-0.81568026649144176</v>
      </c>
      <c r="S25" s="9">
        <f t="shared" ref="S25" si="83">+S23/S24</f>
        <v>-0.46892560911947662</v>
      </c>
      <c r="T25" s="9" t="e">
        <f t="shared" ref="T25" si="84">+T23/T24</f>
        <v>#DIV/0!</v>
      </c>
      <c r="U25" s="9" t="e">
        <f t="shared" ref="U25" si="85">+U23/U24</f>
        <v>#DIV/0!</v>
      </c>
      <c r="V25" s="9" t="e">
        <f t="shared" ref="V25" si="86">+V23/V24</f>
        <v>#DIV/0!</v>
      </c>
      <c r="W25" s="9" t="e">
        <f t="shared" ref="W25" si="87">+W23/W24</f>
        <v>#DIV/0!</v>
      </c>
      <c r="X25" s="9" t="e">
        <f t="shared" ref="X25" si="88">+X23/X24</f>
        <v>#DIV/0!</v>
      </c>
      <c r="Y25" s="9" t="e">
        <f t="shared" ref="Y25" si="89">+Y23/Y24</f>
        <v>#DIV/0!</v>
      </c>
      <c r="Z25" s="9" t="e">
        <f t="shared" ref="Z25" si="90">+Z23/Z24</f>
        <v>#DIV/0!</v>
      </c>
      <c r="AA25" s="9" t="e">
        <f t="shared" ref="AA25" si="91">+AA23/AA24</f>
        <v>#DIV/0!</v>
      </c>
    </row>
    <row r="26" spans="2:79" x14ac:dyDescent="0.25">
      <c r="C26" s="3"/>
      <c r="D26" s="3"/>
      <c r="E26" s="3"/>
      <c r="F26" s="3"/>
      <c r="G26" s="3"/>
      <c r="H26" s="3"/>
      <c r="I26" s="3"/>
      <c r="J26" s="3"/>
      <c r="K26" s="3"/>
      <c r="L26" s="3"/>
      <c r="M26" s="3"/>
      <c r="N26" s="3"/>
    </row>
    <row r="27" spans="2:79" x14ac:dyDescent="0.25">
      <c r="B27" s="1" t="s">
        <v>92</v>
      </c>
      <c r="C27" s="3"/>
      <c r="D27" s="3"/>
      <c r="E27" s="3"/>
      <c r="F27" s="3"/>
      <c r="G27" s="3"/>
      <c r="H27" s="3"/>
      <c r="I27" s="3"/>
      <c r="J27" s="3"/>
      <c r="K27" s="3"/>
      <c r="L27" s="7">
        <f>+L2/H2-1</f>
        <v>4.8780487804878092E-2</v>
      </c>
      <c r="M27" s="3"/>
      <c r="N27" s="3"/>
    </row>
    <row r="28" spans="2:79" x14ac:dyDescent="0.25">
      <c r="B28" s="1" t="s">
        <v>55</v>
      </c>
      <c r="C28" s="3"/>
      <c r="D28" s="3"/>
      <c r="E28" s="3"/>
      <c r="F28" s="3"/>
      <c r="G28" s="8">
        <f t="shared" ref="G28" si="92">+G12/C12-1</f>
        <v>0.20111307867442463</v>
      </c>
      <c r="H28" s="8">
        <f t="shared" ref="H28" si="93">+H12/D12-1</f>
        <v>0.19473450161407202</v>
      </c>
      <c r="I28" s="8">
        <f t="shared" ref="I28" si="94">+I12/E12-1</f>
        <v>0.19252873563218387</v>
      </c>
      <c r="J28" s="8">
        <f t="shared" ref="J28" si="95">+J12/F12-1</f>
        <v>0.20230532402192702</v>
      </c>
      <c r="K28" s="8">
        <f t="shared" ref="K28" si="96">+K12/G12-1</f>
        <v>0.19936524997821214</v>
      </c>
      <c r="L28" s="8">
        <f>+L12/H12-1</f>
        <v>0.20024951922745537</v>
      </c>
      <c r="M28" s="3"/>
      <c r="N28" s="3"/>
      <c r="Q28" s="8">
        <f t="shared" ref="Q28" si="97">+Q12/P12-1</f>
        <v>0.4861150609431264</v>
      </c>
      <c r="R28" s="8">
        <f>+R12/Q12-1</f>
        <v>0.34223577038558362</v>
      </c>
      <c r="S28" s="8">
        <f t="shared" ref="S28:AA28" si="98">+S12/R12-1</f>
        <v>0.19765702340767755</v>
      </c>
      <c r="T28" s="8">
        <f t="shared" si="98"/>
        <v>0.18636129516860267</v>
      </c>
      <c r="U28" s="8">
        <f t="shared" si="98"/>
        <v>0.18684087301937247</v>
      </c>
      <c r="V28" s="8">
        <f t="shared" si="98"/>
        <v>0.1872583512549848</v>
      </c>
      <c r="W28" s="8">
        <f t="shared" si="98"/>
        <v>0.18762149644651416</v>
      </c>
      <c r="X28" s="8">
        <f t="shared" si="98"/>
        <v>0.18793717218202888</v>
      </c>
      <c r="Y28" s="8">
        <f t="shared" si="98"/>
        <v>0.18821142674691482</v>
      </c>
      <c r="Z28" s="8">
        <f t="shared" si="98"/>
        <v>0.18844957689413788</v>
      </c>
      <c r="AA28" s="8">
        <f t="shared" si="98"/>
        <v>0.1886562864507797</v>
      </c>
    </row>
    <row r="29" spans="2:79" x14ac:dyDescent="0.25">
      <c r="B29" s="1" t="s">
        <v>56</v>
      </c>
      <c r="C29" s="8">
        <f t="shared" ref="C29:K29" si="99">+C14/C12</f>
        <v>0.80464422481397802</v>
      </c>
      <c r="D29" s="8">
        <f t="shared" si="99"/>
        <v>0.80201264905461489</v>
      </c>
      <c r="E29" s="8">
        <f t="shared" si="99"/>
        <v>0.81221652687169921</v>
      </c>
      <c r="F29" s="8">
        <f t="shared" si="99"/>
        <v>0.81109859577983023</v>
      </c>
      <c r="G29" s="8">
        <f t="shared" si="99"/>
        <v>0.81672137814833101</v>
      </c>
      <c r="H29" s="8">
        <f t="shared" si="99"/>
        <v>0.82863819022739338</v>
      </c>
      <c r="I29" s="8">
        <f t="shared" si="99"/>
        <v>0.8289612504070335</v>
      </c>
      <c r="J29" s="8">
        <f t="shared" si="99"/>
        <v>0.83131077814765997</v>
      </c>
      <c r="K29" s="8">
        <f t="shared" si="99"/>
        <v>0.84322677921558886</v>
      </c>
      <c r="L29" s="8">
        <f>+L14/L12</f>
        <v>0.83819653019852858</v>
      </c>
      <c r="M29" s="3"/>
      <c r="N29" s="3"/>
      <c r="P29" s="8">
        <f t="shared" ref="P29" si="100">+P14/P12</f>
        <v>0.78974521246980889</v>
      </c>
      <c r="Q29" s="8">
        <f t="shared" ref="Q29:R29" si="101">+Q14/Q12</f>
        <v>0.78968902113621287</v>
      </c>
      <c r="R29" s="8">
        <f t="shared" si="101"/>
        <v>0.80768636081598555</v>
      </c>
      <c r="S29" s="8">
        <f>+S14/S12</f>
        <v>0.82668770287308524</v>
      </c>
      <c r="T29" s="8">
        <f t="shared" ref="T29:AA29" si="102">+T14/T12</f>
        <v>0.83000000000000007</v>
      </c>
      <c r="U29" s="8">
        <f t="shared" si="102"/>
        <v>0.83</v>
      </c>
      <c r="V29" s="8">
        <f t="shared" si="102"/>
        <v>0.83</v>
      </c>
      <c r="W29" s="8">
        <f t="shared" si="102"/>
        <v>0.83</v>
      </c>
      <c r="X29" s="8">
        <f t="shared" si="102"/>
        <v>0.83</v>
      </c>
      <c r="Y29" s="8">
        <f t="shared" si="102"/>
        <v>0.83000000000000007</v>
      </c>
      <c r="Z29" s="8">
        <f t="shared" si="102"/>
        <v>0.83</v>
      </c>
      <c r="AA29" s="8">
        <f t="shared" si="102"/>
        <v>0.83</v>
      </c>
    </row>
    <row r="30" spans="2:79" x14ac:dyDescent="0.25">
      <c r="B30" s="1" t="s">
        <v>80</v>
      </c>
      <c r="C30" s="8">
        <f t="shared" ref="C30:L30" si="103">+C19/C12</f>
        <v>-0.41107146907193998</v>
      </c>
      <c r="D30" s="8">
        <f t="shared" si="103"/>
        <v>-0.55464786876605832</v>
      </c>
      <c r="E30" s="8">
        <f t="shared" si="103"/>
        <v>-0.45268716992854935</v>
      </c>
      <c r="F30" s="8">
        <f t="shared" si="103"/>
        <v>-0.45511751896072644</v>
      </c>
      <c r="G30" s="8">
        <f t="shared" si="103"/>
        <v>-0.34938122766754776</v>
      </c>
      <c r="H30" s="8">
        <f t="shared" si="103"/>
        <v>-0.29838226069934309</v>
      </c>
      <c r="I30" s="8">
        <f t="shared" si="103"/>
        <v>-0.25226310647997408</v>
      </c>
      <c r="J30" s="8">
        <f t="shared" si="103"/>
        <v>-0.25008275508865735</v>
      </c>
      <c r="K30" s="8">
        <f t="shared" si="103"/>
        <v>-0.19478270347517002</v>
      </c>
      <c r="L30" s="8">
        <f t="shared" si="103"/>
        <v>-0.25146010762012527</v>
      </c>
      <c r="M30" s="3"/>
      <c r="N30" s="3"/>
      <c r="P30" s="8">
        <f t="shared" ref="P30" si="104">+P19/P12</f>
        <v>-0.22475456522696946</v>
      </c>
      <c r="Q30" s="8">
        <f t="shared" ref="Q30:R30" si="105">+Q19/Q12</f>
        <v>-0.55194031620766437</v>
      </c>
      <c r="R30" s="8">
        <f t="shared" si="105"/>
        <v>-0.46861941489842329</v>
      </c>
      <c r="S30" s="8">
        <f>+S19/S12</f>
        <v>-0.28531668320948578</v>
      </c>
      <c r="T30" s="8">
        <f t="shared" ref="T30:AA30" si="106">+T19/T12</f>
        <v>-0.17947161257950714</v>
      </c>
      <c r="U30" s="8">
        <f t="shared" si="106"/>
        <v>-8.6513145403009112E-2</v>
      </c>
      <c r="V30" s="8">
        <f t="shared" si="106"/>
        <v>-3.7886312758630722E-3</v>
      </c>
      <c r="W30" s="8">
        <f t="shared" si="106"/>
        <v>7.1363039773295528E-2</v>
      </c>
      <c r="X30" s="8">
        <f t="shared" si="106"/>
        <v>0.13961930309618217</v>
      </c>
      <c r="Y30" s="8">
        <f t="shared" si="106"/>
        <v>0.20160404629825562</v>
      </c>
      <c r="Z30" s="8">
        <f t="shared" si="106"/>
        <v>0.25788991603662303</v>
      </c>
      <c r="AA30" s="8">
        <f t="shared" si="106"/>
        <v>0.30900105534203376</v>
      </c>
    </row>
    <row r="31" spans="2:79" x14ac:dyDescent="0.25">
      <c r="C31" s="3"/>
      <c r="D31" s="3"/>
      <c r="E31" s="3"/>
      <c r="F31" s="3"/>
      <c r="G31" s="3"/>
      <c r="H31" s="3"/>
      <c r="I31" s="3"/>
      <c r="J31" s="3"/>
      <c r="K31" s="3"/>
      <c r="L31" s="3"/>
      <c r="M31" s="3"/>
      <c r="N31" s="3"/>
    </row>
    <row r="32" spans="2:79" x14ac:dyDescent="0.25">
      <c r="B32" s="1" t="s">
        <v>98</v>
      </c>
      <c r="C32" s="8">
        <f t="shared" ref="C32:L34" si="107">+C15/C$12</f>
        <v>0.26795013826251557</v>
      </c>
      <c r="D32" s="8">
        <f t="shared" si="107"/>
        <v>0.2824379076355491</v>
      </c>
      <c r="E32" s="8">
        <f t="shared" si="107"/>
        <v>0.2785880708294502</v>
      </c>
      <c r="F32" s="8">
        <f t="shared" si="107"/>
        <v>0.26025381091837496</v>
      </c>
      <c r="G32" s="8">
        <f t="shared" si="107"/>
        <v>0.23862679022746419</v>
      </c>
      <c r="H32" s="8">
        <f t="shared" si="107"/>
        <v>0.23559577885152225</v>
      </c>
      <c r="I32" s="8">
        <f t="shared" si="107"/>
        <v>0.22718984044285251</v>
      </c>
      <c r="J32" s="8">
        <f t="shared" si="107"/>
        <v>0.22380723373159866</v>
      </c>
      <c r="K32" s="8">
        <f t="shared" si="107"/>
        <v>0.21002403977159187</v>
      </c>
      <c r="L32" s="8">
        <f t="shared" si="107"/>
        <v>0.2354147165065382</v>
      </c>
      <c r="M32" s="3"/>
      <c r="N32" s="3"/>
      <c r="P32" s="8">
        <f t="shared" ref="P32" si="108">+P15/P$12</f>
        <v>0.27721812552321362</v>
      </c>
      <c r="Q32" s="8">
        <f t="shared" ref="Q32:R32" si="109">+Q15/Q$12</f>
        <v>0.32452792556775611</v>
      </c>
      <c r="R32" s="8">
        <f t="shared" si="109"/>
        <v>0.27217524533181792</v>
      </c>
      <c r="S32" s="8">
        <f>+S15/S$12</f>
        <v>0.23096681599914157</v>
      </c>
      <c r="T32" s="8">
        <f t="shared" ref="T32:AA32" si="110">+T15/T$12</f>
        <v>0.20441930951956166</v>
      </c>
      <c r="U32" s="8">
        <f t="shared" si="110"/>
        <v>0.18085008687768392</v>
      </c>
      <c r="V32" s="8">
        <f t="shared" si="110"/>
        <v>0.16146535578183838</v>
      </c>
      <c r="W32" s="8">
        <f t="shared" si="110"/>
        <v>0.14411433073656627</v>
      </c>
      <c r="X32" s="8">
        <f t="shared" si="110"/>
        <v>0.1285936614814108</v>
      </c>
      <c r="Y32" s="8">
        <f t="shared" si="110"/>
        <v>0.11471803595045621</v>
      </c>
      <c r="Z32" s="8">
        <f t="shared" si="110"/>
        <v>0.10231912272228888</v>
      </c>
      <c r="AA32" s="8">
        <f t="shared" si="110"/>
        <v>9.1244434006631805E-2</v>
      </c>
    </row>
    <row r="33" spans="2:27" x14ac:dyDescent="0.25">
      <c r="B33" s="1" t="s">
        <v>99</v>
      </c>
      <c r="C33" s="8">
        <f t="shared" si="107"/>
        <v>0.62341128954874947</v>
      </c>
      <c r="D33" s="8">
        <f t="shared" si="107"/>
        <v>0.74146847618420186</v>
      </c>
      <c r="E33" s="8">
        <f t="shared" si="107"/>
        <v>0.67462721342031684</v>
      </c>
      <c r="F33" s="8">
        <f t="shared" si="107"/>
        <v>0.71215739280618739</v>
      </c>
      <c r="G33" s="8">
        <f t="shared" si="107"/>
        <v>0.63046509601138767</v>
      </c>
      <c r="H33" s="8">
        <f t="shared" si="107"/>
        <v>0.6063937578836357</v>
      </c>
      <c r="I33" s="8">
        <f t="shared" si="107"/>
        <v>0.59051123412569206</v>
      </c>
      <c r="J33" s="8">
        <f t="shared" si="107"/>
        <v>0.57661872076247112</v>
      </c>
      <c r="K33" s="8">
        <f t="shared" si="107"/>
        <v>0.57309119974809708</v>
      </c>
      <c r="L33" s="8">
        <f t="shared" si="107"/>
        <v>0.59867570966686001</v>
      </c>
      <c r="M33" s="3"/>
      <c r="N33" s="3"/>
      <c r="P33" s="8">
        <f t="shared" ref="P33" si="111">+P16/P$12</f>
        <v>0.53383615251202632</v>
      </c>
      <c r="Q33" s="8">
        <f t="shared" ref="Q33:S33" si="112">+Q16/Q$12</f>
        <v>0.70169693441359282</v>
      </c>
      <c r="R33" s="8">
        <f t="shared" si="112"/>
        <v>0.68917206661057551</v>
      </c>
      <c r="S33" s="8">
        <f t="shared" si="112"/>
        <v>0.59986888698124852</v>
      </c>
      <c r="T33" s="8">
        <f t="shared" ref="T33:AA33" si="113">+T16/T$12</f>
        <v>0.5562013683071112</v>
      </c>
      <c r="U33" s="8">
        <f t="shared" si="113"/>
        <v>0.5155042424359072</v>
      </c>
      <c r="V33" s="8">
        <f t="shared" si="113"/>
        <v>0.4776169113319742</v>
      </c>
      <c r="W33" s="8">
        <f t="shared" si="113"/>
        <v>0.4423788252714847</v>
      </c>
      <c r="X33" s="8">
        <f t="shared" si="113"/>
        <v>0.40963168692230167</v>
      </c>
      <c r="Y33" s="8">
        <f t="shared" si="113"/>
        <v>0.37922110953617949</v>
      </c>
      <c r="Z33" s="8">
        <f t="shared" si="113"/>
        <v>0.35099782826289383</v>
      </c>
      <c r="AA33" s="8">
        <f t="shared" si="113"/>
        <v>0.3248185497273024</v>
      </c>
    </row>
    <row r="34" spans="2:27" x14ac:dyDescent="0.25">
      <c r="B34" s="1" t="s">
        <v>100</v>
      </c>
      <c r="C34" s="8">
        <f t="shared" si="107"/>
        <v>0.32435426607465301</v>
      </c>
      <c r="D34" s="8">
        <f t="shared" si="107"/>
        <v>0.3327541340009223</v>
      </c>
      <c r="E34" s="8">
        <f t="shared" si="107"/>
        <v>0.31168841255048158</v>
      </c>
      <c r="F34" s="8">
        <f t="shared" si="107"/>
        <v>0.29380491101599443</v>
      </c>
      <c r="G34" s="8">
        <f t="shared" si="107"/>
        <v>0.29701071957702696</v>
      </c>
      <c r="H34" s="8">
        <f t="shared" si="107"/>
        <v>0.28503091419157833</v>
      </c>
      <c r="I34" s="8">
        <f t="shared" si="107"/>
        <v>0.26352328231846306</v>
      </c>
      <c r="J34" s="8">
        <f t="shared" si="107"/>
        <v>0.28096757874224759</v>
      </c>
      <c r="K34" s="8">
        <f t="shared" si="107"/>
        <v>0.2548942431710699</v>
      </c>
      <c r="L34" s="8">
        <f t="shared" si="107"/>
        <v>0.25556621164525561</v>
      </c>
      <c r="M34" s="3"/>
      <c r="N34" s="3"/>
      <c r="P34" s="8">
        <f t="shared" ref="P34" si="114">+P17/P$12</f>
        <v>0.20344549966153835</v>
      </c>
      <c r="Q34" s="8">
        <f t="shared" ref="Q34:S34" si="115">+Q17/Q$12</f>
        <v>0.31540447736252841</v>
      </c>
      <c r="R34" s="8">
        <f t="shared" si="115"/>
        <v>0.31495846377201558</v>
      </c>
      <c r="S34" s="8">
        <f t="shared" si="115"/>
        <v>0.28116868310218096</v>
      </c>
      <c r="T34" s="8">
        <f t="shared" ref="T34:AA34" si="116">+T17/T$12</f>
        <v>0.2488509347528344</v>
      </c>
      <c r="U34" s="8">
        <f t="shared" si="116"/>
        <v>0.22015881608941781</v>
      </c>
      <c r="V34" s="8">
        <f t="shared" si="116"/>
        <v>0.1947063641620505</v>
      </c>
      <c r="W34" s="8">
        <f t="shared" si="116"/>
        <v>0.1721438042186535</v>
      </c>
      <c r="X34" s="8">
        <f t="shared" si="116"/>
        <v>0.15215534850010526</v>
      </c>
      <c r="Y34" s="8">
        <f t="shared" si="116"/>
        <v>0.13445680821510864</v>
      </c>
      <c r="Z34" s="8">
        <f t="shared" si="116"/>
        <v>0.1187931329781943</v>
      </c>
      <c r="AA34" s="8">
        <f t="shared" si="116"/>
        <v>0.10493596092403201</v>
      </c>
    </row>
    <row r="35" spans="2:27" x14ac:dyDescent="0.25">
      <c r="C35" s="3"/>
      <c r="D35" s="3"/>
      <c r="E35" s="3"/>
      <c r="F35" s="3"/>
      <c r="G35" s="3"/>
      <c r="H35" s="3"/>
      <c r="I35" s="3"/>
      <c r="J35" s="3"/>
      <c r="K35" s="3"/>
      <c r="L35" s="3"/>
      <c r="M35" s="3"/>
      <c r="N35" s="3"/>
    </row>
    <row r="36" spans="2:27" x14ac:dyDescent="0.25">
      <c r="B36" s="1" t="s">
        <v>52</v>
      </c>
      <c r="C36" s="3"/>
      <c r="D36" s="3"/>
      <c r="E36" s="3"/>
      <c r="F36" s="3"/>
      <c r="G36" s="3">
        <v>-42.664000000000001</v>
      </c>
      <c r="H36" s="3">
        <f>-78.322-G36</f>
        <v>-35.658000000000001</v>
      </c>
      <c r="I36" s="3">
        <f>-109.355-H36-G36</f>
        <v>-31.033000000000001</v>
      </c>
      <c r="J36" s="3">
        <f>+S36-G36-H36-I36</f>
        <v>-28.081000000000031</v>
      </c>
      <c r="K36" s="3">
        <v>-23.324999999999999</v>
      </c>
      <c r="L36" s="3">
        <f>-43.509-K36</f>
        <v>-20.184000000000001</v>
      </c>
      <c r="M36" s="3"/>
      <c r="N36" s="3"/>
      <c r="P36" s="3">
        <f>+P23</f>
        <v>-57.293999999999969</v>
      </c>
      <c r="Q36" s="3">
        <f t="shared" ref="Q36:R36" si="117">+Q23</f>
        <v>-191.99500000000003</v>
      </c>
      <c r="R36" s="3">
        <f t="shared" si="117"/>
        <v>-232.13199999999992</v>
      </c>
      <c r="S36" s="3">
        <f>+S23</f>
        <v>-137.43600000000004</v>
      </c>
    </row>
    <row r="37" spans="2:27" x14ac:dyDescent="0.25">
      <c r="B37" s="1" t="s">
        <v>57</v>
      </c>
      <c r="C37" s="3"/>
      <c r="D37" s="3"/>
      <c r="E37" s="3"/>
      <c r="F37" s="3"/>
      <c r="G37" s="3">
        <f>3.112+5.617</f>
        <v>8.7289999999999992</v>
      </c>
      <c r="H37" s="3">
        <f>6.114+11.469-G37</f>
        <v>8.8539999999999992</v>
      </c>
      <c r="I37" s="3">
        <f>9.098+17.6-H37-G37</f>
        <v>9.115000000000002</v>
      </c>
      <c r="J37" s="3">
        <f t="shared" ref="J37:J45" si="118">+S37-G37-H37-I37</f>
        <v>9.4110000000000014</v>
      </c>
      <c r="K37" s="3">
        <f>2.967+6.652</f>
        <v>9.6189999999999998</v>
      </c>
      <c r="L37" s="3">
        <f>6.713-K37+13.538</f>
        <v>10.632000000000001</v>
      </c>
      <c r="P37" s="3">
        <f>11.169+7.681</f>
        <v>18.850000000000001</v>
      </c>
      <c r="Q37" s="3">
        <f>13.294+12.844</f>
        <v>26.137999999999998</v>
      </c>
      <c r="R37" s="3">
        <f>11.504+18.532</f>
        <v>30.036000000000001</v>
      </c>
      <c r="S37" s="3">
        <f>12.144+23.965</f>
        <v>36.109000000000002</v>
      </c>
    </row>
    <row r="38" spans="2:27" x14ac:dyDescent="0.25">
      <c r="B38" s="1" t="s">
        <v>58</v>
      </c>
      <c r="C38" s="3"/>
      <c r="D38" s="3"/>
      <c r="E38" s="3"/>
      <c r="F38" s="3"/>
      <c r="G38" s="3">
        <v>1.85</v>
      </c>
      <c r="H38" s="3">
        <f>3.727-G38</f>
        <v>1.8769999999999998</v>
      </c>
      <c r="I38" s="3">
        <f>5.692-H38-G38</f>
        <v>1.9650000000000003</v>
      </c>
      <c r="J38" s="3">
        <f t="shared" si="118"/>
        <v>2.0439999999999992</v>
      </c>
      <c r="K38" s="3">
        <v>1.98</v>
      </c>
      <c r="L38" s="3">
        <f>4.399-K38</f>
        <v>2.419</v>
      </c>
      <c r="P38" s="3"/>
      <c r="Q38" s="3"/>
      <c r="R38" s="3">
        <v>6.1950000000000003</v>
      </c>
      <c r="S38" s="3">
        <v>7.7359999999999998</v>
      </c>
    </row>
    <row r="39" spans="2:27" x14ac:dyDescent="0.25">
      <c r="B39" s="1" t="s">
        <v>59</v>
      </c>
      <c r="C39" s="3"/>
      <c r="D39" s="3"/>
      <c r="E39" s="3"/>
      <c r="F39" s="3"/>
      <c r="G39" s="3">
        <v>50.694000000000003</v>
      </c>
      <c r="H39" s="3">
        <f>104.942-G39</f>
        <v>54.24799999999999</v>
      </c>
      <c r="I39" s="3">
        <f>160.067-H39-G39</f>
        <v>55.125000000000014</v>
      </c>
      <c r="J39" s="3">
        <f t="shared" si="118"/>
        <v>50.639999999999972</v>
      </c>
      <c r="K39" s="3">
        <v>52.442</v>
      </c>
      <c r="L39" s="3">
        <f>107.581-K39</f>
        <v>55.139000000000003</v>
      </c>
      <c r="P39" s="3">
        <v>43.28</v>
      </c>
      <c r="Q39" s="3">
        <v>173.44300000000001</v>
      </c>
      <c r="R39" s="3">
        <v>207.696</v>
      </c>
      <c r="S39" s="3">
        <v>210.70699999999999</v>
      </c>
    </row>
    <row r="40" spans="2:27" x14ac:dyDescent="0.25">
      <c r="B40" s="1" t="s">
        <v>60</v>
      </c>
      <c r="C40" s="3"/>
      <c r="D40" s="3"/>
      <c r="E40" s="3"/>
      <c r="F40" s="3"/>
      <c r="G40" s="3">
        <v>-3.52</v>
      </c>
      <c r="H40" s="3">
        <f>-7.822-G40</f>
        <v>-4.3019999999999996</v>
      </c>
      <c r="I40" s="3">
        <f>-12.108-H40-G40</f>
        <v>-4.2860000000000014</v>
      </c>
      <c r="J40" s="3">
        <f t="shared" si="118"/>
        <v>-3.5439999999999987</v>
      </c>
      <c r="K40" s="3">
        <v>-4.6230000000000002</v>
      </c>
      <c r="L40" s="3">
        <f>-8.721-K40</f>
        <v>-4.0979999999999999</v>
      </c>
      <c r="P40" s="3">
        <v>1.2270000000000001</v>
      </c>
      <c r="Q40" s="3">
        <v>1.7569999999999999</v>
      </c>
      <c r="R40" s="3">
        <v>-1.627</v>
      </c>
      <c r="S40" s="3">
        <v>-15.651999999999999</v>
      </c>
    </row>
    <row r="41" spans="2:27" x14ac:dyDescent="0.25">
      <c r="B41" s="1" t="s">
        <v>85</v>
      </c>
      <c r="C41" s="3"/>
      <c r="D41" s="3"/>
      <c r="E41" s="3"/>
      <c r="F41" s="3"/>
      <c r="G41" s="3"/>
      <c r="H41" s="3"/>
      <c r="I41" s="3"/>
      <c r="J41" s="3">
        <f t="shared" si="118"/>
        <v>0</v>
      </c>
      <c r="K41" s="3"/>
      <c r="L41" s="3"/>
      <c r="P41" s="3">
        <v>-0.13200000000000001</v>
      </c>
      <c r="Q41" s="3">
        <v>-23.835999999999999</v>
      </c>
      <c r="R41" s="3"/>
      <c r="S41" s="3"/>
    </row>
    <row r="42" spans="2:27" x14ac:dyDescent="0.25">
      <c r="B42" s="1" t="s">
        <v>84</v>
      </c>
      <c r="C42" s="3"/>
      <c r="D42" s="3"/>
      <c r="E42" s="3"/>
      <c r="F42" s="3"/>
      <c r="G42" s="3"/>
      <c r="H42" s="3"/>
      <c r="I42" s="3">
        <f>-0.065-H42-G42</f>
        <v>-6.5000000000000002E-2</v>
      </c>
      <c r="J42" s="3">
        <f t="shared" si="118"/>
        <v>-2.4999999999999994E-2</v>
      </c>
      <c r="K42" s="3"/>
      <c r="L42" s="3"/>
      <c r="P42" s="3">
        <v>-0.107</v>
      </c>
      <c r="Q42" s="3">
        <v>-0.13200000000000001</v>
      </c>
      <c r="R42" s="3">
        <v>-7.0999999999999994E-2</v>
      </c>
      <c r="S42" s="3">
        <v>-0.09</v>
      </c>
    </row>
    <row r="43" spans="2:27" x14ac:dyDescent="0.25">
      <c r="B43" s="1" t="s">
        <v>61</v>
      </c>
      <c r="C43" s="3"/>
      <c r="D43" s="3"/>
      <c r="E43" s="3"/>
      <c r="F43" s="3"/>
      <c r="G43" s="3">
        <v>0.113</v>
      </c>
      <c r="H43" s="3">
        <f>0.113-G43</f>
        <v>0</v>
      </c>
      <c r="I43" s="3">
        <f>0.113-H43-G43</f>
        <v>0</v>
      </c>
      <c r="J43" s="3">
        <f t="shared" si="118"/>
        <v>-1.4350000000000001</v>
      </c>
      <c r="K43" s="3">
        <v>0.47699999999999998</v>
      </c>
      <c r="L43" s="3">
        <f>-13.801-K43</f>
        <v>-14.278</v>
      </c>
      <c r="P43" s="3">
        <v>-2.36</v>
      </c>
      <c r="Q43" s="3">
        <v>-1.907</v>
      </c>
      <c r="R43" s="3">
        <v>-2.4049999999999998</v>
      </c>
      <c r="S43" s="3">
        <v>-1.3220000000000001</v>
      </c>
    </row>
    <row r="44" spans="2:27" x14ac:dyDescent="0.25">
      <c r="B44" s="1" t="s">
        <v>62</v>
      </c>
      <c r="C44" s="3"/>
      <c r="D44" s="3"/>
      <c r="E44" s="3"/>
      <c r="F44" s="3"/>
      <c r="G44" s="3">
        <v>7.0000000000000007E-2</v>
      </c>
      <c r="H44" s="3">
        <f>-0.009-G44</f>
        <v>-7.9000000000000001E-2</v>
      </c>
      <c r="I44" s="3">
        <f>0.175-H44-G44</f>
        <v>0.184</v>
      </c>
      <c r="J44" s="3">
        <f t="shared" si="118"/>
        <v>3.3999999999999975E-2</v>
      </c>
      <c r="K44" s="3">
        <v>-8.5999999999999993E-2</v>
      </c>
      <c r="L44" s="3">
        <f>-0.231-K44</f>
        <v>-0.14500000000000002</v>
      </c>
      <c r="P44" s="3">
        <v>0.14299999999999999</v>
      </c>
      <c r="Q44" s="3">
        <v>-2.8000000000000001E-2</v>
      </c>
      <c r="R44" s="3">
        <v>0.88700000000000001</v>
      </c>
      <c r="S44" s="3">
        <v>0.20899999999999999</v>
      </c>
    </row>
    <row r="45" spans="2:27" x14ac:dyDescent="0.25">
      <c r="B45" s="1" t="s">
        <v>63</v>
      </c>
      <c r="C45" s="3"/>
      <c r="D45" s="3"/>
      <c r="E45" s="3"/>
      <c r="F45" s="3"/>
      <c r="G45" s="3">
        <f>-2.49-5.568-7.248-1.494-0.392+14.924-1.5</f>
        <v>-3.7680000000000007</v>
      </c>
      <c r="H45" s="3">
        <f>-3.599-12.756-6.571-4.221-5.481+28.732-4.917-G45</f>
        <v>-5.0449999999999999</v>
      </c>
      <c r="I45" s="3">
        <f>-10.003-19.147-11.793-3.219-3.15+40.459-9.052-H45-G45</f>
        <v>-7.0919999999999934</v>
      </c>
      <c r="J45" s="3">
        <f t="shared" si="118"/>
        <v>1.8219999999999903</v>
      </c>
      <c r="K45" s="3">
        <f>12.85-7.072-6.609-1.968+0.245+9.508-2.819</f>
        <v>4.1349999999999989</v>
      </c>
      <c r="L45" s="3">
        <f>4.948-16.902-7.176+5.981+8.873+17.219-1.957-K45</f>
        <v>6.8509999999999982</v>
      </c>
      <c r="P45" s="3">
        <f>-9.932-14.344-8.165+0.053+24.867+36.444</f>
        <v>28.922999999999998</v>
      </c>
      <c r="Q45" s="3">
        <f>-17.509-24.218-5.942+1.986+17.714+55.989</f>
        <v>28.019999999999989</v>
      </c>
      <c r="R45" s="3">
        <f>-18.892-28.56-8.141+0.077+7.746+45.453-8.787</f>
        <v>-11.103999999999994</v>
      </c>
      <c r="S45" s="3">
        <f>-26.982-26.962-7.411-2.423+1.839+60.773-12.917</f>
        <v>-14.083000000000004</v>
      </c>
    </row>
    <row r="46" spans="2:27" x14ac:dyDescent="0.25">
      <c r="B46" s="4" t="s">
        <v>64</v>
      </c>
      <c r="C46" s="6">
        <v>1.355</v>
      </c>
      <c r="D46" s="6">
        <f>-5.469-C46</f>
        <v>-6.8239999999999998</v>
      </c>
      <c r="E46" s="6">
        <f>-9.692-D46-C46</f>
        <v>-4.2230000000000008</v>
      </c>
      <c r="F46" s="6">
        <f>+R46-E46-D46-C46</f>
        <v>7.1670000000000798</v>
      </c>
      <c r="G46" s="6">
        <f t="shared" ref="G46:K46" si="119">+SUM(G36:G45)</f>
        <v>11.504000000000001</v>
      </c>
      <c r="H46" s="6">
        <f t="shared" si="119"/>
        <v>19.894999999999989</v>
      </c>
      <c r="I46" s="6">
        <f t="shared" si="119"/>
        <v>23.913000000000018</v>
      </c>
      <c r="J46" s="6">
        <f t="shared" si="119"/>
        <v>30.865999999999936</v>
      </c>
      <c r="K46" s="6">
        <f t="shared" si="119"/>
        <v>40.619</v>
      </c>
      <c r="L46" s="6">
        <f>+SUM(L36:L45)</f>
        <v>36.335999999999999</v>
      </c>
      <c r="P46" s="6">
        <f t="shared" ref="P46:S46" si="120">+SUM(P36:P45)</f>
        <v>32.53000000000003</v>
      </c>
      <c r="Q46" s="6">
        <f t="shared" si="120"/>
        <v>11.459999999999976</v>
      </c>
      <c r="R46" s="6">
        <f t="shared" si="120"/>
        <v>-2.5249999999999204</v>
      </c>
      <c r="S46" s="6">
        <f t="shared" si="120"/>
        <v>86.177999999999969</v>
      </c>
    </row>
    <row r="48" spans="2:27" x14ac:dyDescent="0.25">
      <c r="B48" s="1" t="s">
        <v>65</v>
      </c>
      <c r="C48" s="3">
        <v>-1.397</v>
      </c>
      <c r="D48" s="3">
        <f>-3.381-C48</f>
        <v>-1.9839999999999998</v>
      </c>
      <c r="E48" s="3">
        <f>-5.288-D48-C48</f>
        <v>-1.9070000000000003</v>
      </c>
      <c r="F48" s="3">
        <f>+R48-E48-D48-C48</f>
        <v>-1.8409999999999995</v>
      </c>
      <c r="G48" s="3">
        <v>-0.38300000000000001</v>
      </c>
      <c r="H48" s="3">
        <f>-0.712-G48</f>
        <v>-0.32899999999999996</v>
      </c>
      <c r="I48" s="3">
        <f>-0.99-H48-G48</f>
        <v>-0.27800000000000002</v>
      </c>
      <c r="J48" s="3">
        <f t="shared" ref="J48:J56" si="121">+S48-G48-H48-I48</f>
        <v>-1.079</v>
      </c>
      <c r="K48" s="3">
        <v>-0.73899999999999999</v>
      </c>
      <c r="L48" s="3">
        <f>-3.054-K48</f>
        <v>-2.3149999999999999</v>
      </c>
      <c r="P48" s="3">
        <v>-4.383</v>
      </c>
      <c r="Q48" s="3">
        <v>-5.5650000000000004</v>
      </c>
      <c r="R48" s="3">
        <v>-7.1289999999999996</v>
      </c>
      <c r="S48" s="3">
        <v>-2.069</v>
      </c>
      <c r="T48" s="3"/>
      <c r="U48" s="3"/>
      <c r="V48" s="3"/>
      <c r="W48" s="3"/>
      <c r="X48" s="3"/>
      <c r="Y48" s="3"/>
      <c r="Z48" s="3"/>
      <c r="AA48" s="3"/>
    </row>
    <row r="49" spans="2:27" x14ac:dyDescent="0.25">
      <c r="B49" s="1" t="s">
        <v>66</v>
      </c>
      <c r="C49" s="3"/>
      <c r="D49" s="3"/>
      <c r="E49" s="3"/>
      <c r="F49" s="3"/>
      <c r="G49" s="3">
        <v>2.4E-2</v>
      </c>
      <c r="H49" s="3">
        <f>0.058-G49</f>
        <v>3.4000000000000002E-2</v>
      </c>
      <c r="I49" s="3">
        <f>0.091-H49-G49</f>
        <v>3.2999999999999995E-2</v>
      </c>
      <c r="J49" s="3">
        <f t="shared" si="121"/>
        <v>1.8999999999999996E-2</v>
      </c>
      <c r="K49" s="3">
        <v>4.1000000000000002E-2</v>
      </c>
      <c r="L49" s="3">
        <f>0.063-K49</f>
        <v>2.1999999999999999E-2</v>
      </c>
      <c r="P49" s="3"/>
      <c r="Q49" s="3">
        <v>0.62</v>
      </c>
      <c r="R49" s="3">
        <v>0.13700000000000001</v>
      </c>
      <c r="S49" s="3">
        <v>0.11</v>
      </c>
      <c r="T49" s="3"/>
      <c r="U49" s="3"/>
      <c r="V49" s="3"/>
      <c r="W49" s="3"/>
      <c r="X49" s="3"/>
      <c r="Y49" s="3"/>
      <c r="Z49" s="3"/>
      <c r="AA49" s="3"/>
    </row>
    <row r="50" spans="2:27" x14ac:dyDescent="0.25">
      <c r="B50" s="1" t="s">
        <v>67</v>
      </c>
      <c r="C50" s="3">
        <v>-1.3440000000000001</v>
      </c>
      <c r="D50" s="3">
        <f>-2.722-C50</f>
        <v>-1.3779999999999999</v>
      </c>
      <c r="E50" s="3">
        <f>-3.828-D50-C50</f>
        <v>-1.1060000000000001</v>
      </c>
      <c r="F50" s="3">
        <f>+R50-E50-D50-C50</f>
        <v>-1.2879999999999996</v>
      </c>
      <c r="G50" s="3">
        <v>-2.0249999999999999</v>
      </c>
      <c r="H50" s="3">
        <f>-3.511-G50</f>
        <v>-1.4860000000000002</v>
      </c>
      <c r="I50" s="3">
        <f>-5.075-H50-G50</f>
        <v>-1.5640000000000001</v>
      </c>
      <c r="J50" s="3">
        <f t="shared" si="121"/>
        <v>-1.1960000000000002</v>
      </c>
      <c r="K50" s="3">
        <v>-1.2070000000000001</v>
      </c>
      <c r="L50" s="3">
        <f>-2.406-K50</f>
        <v>-1.1990000000000001</v>
      </c>
      <c r="P50" s="3">
        <v>-4.6310000000000002</v>
      </c>
      <c r="Q50" s="3">
        <v>-3.552</v>
      </c>
      <c r="R50" s="3">
        <v>-5.1159999999999997</v>
      </c>
      <c r="S50" s="3">
        <v>-6.2709999999999999</v>
      </c>
      <c r="T50" s="3"/>
      <c r="U50" s="3"/>
      <c r="V50" s="3"/>
      <c r="W50" s="3"/>
      <c r="X50" s="3"/>
      <c r="Y50" s="3"/>
      <c r="Z50" s="3"/>
      <c r="AA50" s="3"/>
    </row>
    <row r="51" spans="2:27" x14ac:dyDescent="0.25">
      <c r="B51" s="1" t="s">
        <v>87</v>
      </c>
      <c r="C51" s="3"/>
      <c r="D51" s="3"/>
      <c r="E51" s="3"/>
      <c r="F51" s="3"/>
      <c r="G51" s="3"/>
      <c r="H51" s="3"/>
      <c r="I51" s="3"/>
      <c r="J51" s="3">
        <f t="shared" si="121"/>
        <v>0</v>
      </c>
      <c r="K51" s="3"/>
      <c r="L51" s="3"/>
      <c r="P51" s="3"/>
      <c r="Q51" s="3">
        <v>23.978999999999999</v>
      </c>
      <c r="R51" s="3"/>
      <c r="S51" s="3"/>
      <c r="T51" s="3"/>
      <c r="U51" s="3"/>
      <c r="V51" s="3"/>
      <c r="W51" s="3"/>
      <c r="X51" s="3"/>
      <c r="Y51" s="3"/>
      <c r="Z51" s="3"/>
      <c r="AA51" s="3"/>
    </row>
    <row r="52" spans="2:27" x14ac:dyDescent="0.25">
      <c r="B52" s="1" t="s">
        <v>68</v>
      </c>
      <c r="C52" s="3"/>
      <c r="D52" s="3"/>
      <c r="E52" s="3"/>
      <c r="F52" s="3"/>
      <c r="G52" s="3">
        <v>-217.75399999999999</v>
      </c>
      <c r="H52" s="3">
        <f>-492.418-G52</f>
        <v>-274.66399999999999</v>
      </c>
      <c r="I52" s="3">
        <f>-653.679-H52-G52</f>
        <v>-161.261</v>
      </c>
      <c r="J52" s="3">
        <f t="shared" si="121"/>
        <v>-189.124</v>
      </c>
      <c r="K52" s="3">
        <v>-218.881</v>
      </c>
      <c r="L52" s="3">
        <f>-393.183-K52</f>
        <v>-174.30199999999999</v>
      </c>
      <c r="P52" s="3">
        <v>-115.68899999999999</v>
      </c>
      <c r="Q52" s="3">
        <v>-686.07799999999997</v>
      </c>
      <c r="R52" s="3">
        <v>-848.56</v>
      </c>
      <c r="S52" s="3">
        <v>-842.803</v>
      </c>
      <c r="T52" s="3"/>
      <c r="U52" s="3"/>
      <c r="V52" s="3"/>
      <c r="W52" s="3"/>
      <c r="X52" s="3"/>
      <c r="Y52" s="3"/>
      <c r="Z52" s="3"/>
      <c r="AA52" s="3"/>
    </row>
    <row r="53" spans="2:27" x14ac:dyDescent="0.25">
      <c r="B53" s="1" t="s">
        <v>86</v>
      </c>
      <c r="C53" s="3"/>
      <c r="D53" s="3"/>
      <c r="E53" s="3"/>
      <c r="F53" s="3"/>
      <c r="G53" s="3"/>
      <c r="H53" s="3"/>
      <c r="I53" s="3"/>
      <c r="J53" s="3">
        <f t="shared" si="121"/>
        <v>0</v>
      </c>
      <c r="K53" s="3"/>
      <c r="L53" s="3"/>
      <c r="P53" s="3">
        <v>18.658000000000001</v>
      </c>
      <c r="Q53" s="3">
        <v>131.16999999999999</v>
      </c>
      <c r="R53" s="3">
        <v>92.786000000000001</v>
      </c>
      <c r="S53" s="3"/>
      <c r="T53" s="3"/>
      <c r="U53" s="3"/>
      <c r="V53" s="3"/>
      <c r="W53" s="3"/>
      <c r="X53" s="3"/>
      <c r="Y53" s="3"/>
      <c r="Z53" s="3"/>
      <c r="AA53" s="3"/>
    </row>
    <row r="54" spans="2:27" x14ac:dyDescent="0.25">
      <c r="B54" s="1" t="s">
        <v>69</v>
      </c>
      <c r="C54" s="3"/>
      <c r="D54" s="3"/>
      <c r="E54" s="3"/>
      <c r="F54" s="3"/>
      <c r="G54" s="3">
        <v>261.47399999999999</v>
      </c>
      <c r="H54" s="3">
        <f>540.719-G54</f>
        <v>279.24500000000006</v>
      </c>
      <c r="I54" s="3">
        <f>805.933-H54-G54</f>
        <v>265.21399999999988</v>
      </c>
      <c r="J54" s="3">
        <f t="shared" si="121"/>
        <v>203.59900000000005</v>
      </c>
      <c r="K54" s="3">
        <v>183.01499999999999</v>
      </c>
      <c r="L54" s="3">
        <f>391.99-K54</f>
        <v>208.97500000000002</v>
      </c>
      <c r="P54" s="3">
        <v>101.44499999999999</v>
      </c>
      <c r="Q54" s="3">
        <v>119.13</v>
      </c>
      <c r="R54" s="3">
        <v>483.05500000000001</v>
      </c>
      <c r="S54" s="3">
        <v>1009.532</v>
      </c>
      <c r="T54" s="3"/>
      <c r="U54" s="3"/>
      <c r="V54" s="3"/>
      <c r="W54" s="3"/>
      <c r="X54" s="3"/>
      <c r="Y54" s="3"/>
      <c r="Z54" s="3"/>
      <c r="AA54" s="3"/>
    </row>
    <row r="55" spans="2:27" x14ac:dyDescent="0.25">
      <c r="B55" s="1" t="s">
        <v>109</v>
      </c>
      <c r="C55" s="3"/>
      <c r="D55" s="3"/>
      <c r="E55" s="3"/>
      <c r="F55" s="3"/>
      <c r="G55" s="3"/>
      <c r="H55" s="3"/>
      <c r="I55" s="3"/>
      <c r="J55" s="3"/>
      <c r="K55" s="3"/>
      <c r="L55" s="3"/>
      <c r="P55" s="3">
        <v>-1.75</v>
      </c>
      <c r="Q55" s="3"/>
      <c r="R55" s="3"/>
      <c r="S55" s="3"/>
      <c r="T55" s="3"/>
      <c r="U55" s="3"/>
      <c r="V55" s="3"/>
      <c r="W55" s="3"/>
      <c r="X55" s="3"/>
      <c r="Y55" s="3"/>
      <c r="Z55" s="3"/>
      <c r="AA55" s="3"/>
    </row>
    <row r="56" spans="2:27" x14ac:dyDescent="0.25">
      <c r="B56" s="1" t="s">
        <v>70</v>
      </c>
      <c r="C56" s="3"/>
      <c r="D56" s="3"/>
      <c r="E56" s="3"/>
      <c r="F56" s="3"/>
      <c r="G56" s="3"/>
      <c r="H56" s="3"/>
      <c r="I56" s="3"/>
      <c r="J56" s="3">
        <f t="shared" si="121"/>
        <v>0</v>
      </c>
      <c r="K56" s="3"/>
      <c r="L56" s="3">
        <f>-213.905-K56</f>
        <v>-213.905</v>
      </c>
      <c r="P56" s="3">
        <v>-5.0750000000000002</v>
      </c>
      <c r="Q56" s="3"/>
      <c r="R56" s="3"/>
      <c r="S56" s="3"/>
      <c r="T56" s="3"/>
      <c r="U56" s="3"/>
      <c r="V56" s="3"/>
      <c r="W56" s="3"/>
      <c r="X56" s="3"/>
      <c r="Y56" s="3"/>
      <c r="Z56" s="3"/>
      <c r="AA56" s="3"/>
    </row>
    <row r="57" spans="2:27" x14ac:dyDescent="0.25">
      <c r="B57" s="1" t="s">
        <v>71</v>
      </c>
      <c r="C57" s="3">
        <f t="shared" ref="C57:K57" si="122">+SUM(C48:C56)</f>
        <v>-2.7410000000000001</v>
      </c>
      <c r="D57" s="3">
        <f t="shared" si="122"/>
        <v>-3.3619999999999997</v>
      </c>
      <c r="E57" s="3">
        <f t="shared" si="122"/>
        <v>-3.0130000000000003</v>
      </c>
      <c r="F57" s="3">
        <f t="shared" si="122"/>
        <v>-3.1289999999999991</v>
      </c>
      <c r="G57" s="3">
        <f t="shared" si="122"/>
        <v>41.336000000000013</v>
      </c>
      <c r="H57" s="3">
        <f t="shared" si="122"/>
        <v>2.8000000000000682</v>
      </c>
      <c r="I57" s="3">
        <f t="shared" si="122"/>
        <v>102.14399999999989</v>
      </c>
      <c r="J57" s="3">
        <f t="shared" si="122"/>
        <v>12.219000000000051</v>
      </c>
      <c r="K57" s="3">
        <f t="shared" si="122"/>
        <v>-37.771000000000015</v>
      </c>
      <c r="L57" s="3">
        <f>+SUM(L48:L56)</f>
        <v>-182.72399999999996</v>
      </c>
      <c r="P57" s="3">
        <f>+SUM(P48:P56)</f>
        <v>-11.424999999999994</v>
      </c>
      <c r="Q57" s="3">
        <f t="shared" ref="Q57:S57" si="123">+SUM(Q48:Q56)</f>
        <v>-420.29600000000005</v>
      </c>
      <c r="R57" s="3">
        <f t="shared" si="123"/>
        <v>-284.82699999999983</v>
      </c>
      <c r="S57" s="3">
        <f t="shared" si="123"/>
        <v>158.49900000000002</v>
      </c>
      <c r="T57" s="3"/>
      <c r="U57" s="3"/>
      <c r="V57" s="3"/>
      <c r="W57" s="3"/>
      <c r="X57" s="3"/>
      <c r="Y57" s="3"/>
      <c r="Z57" s="3"/>
      <c r="AA57" s="3"/>
    </row>
    <row r="58" spans="2:27" x14ac:dyDescent="0.25">
      <c r="Q58" s="3"/>
      <c r="R58" s="3"/>
      <c r="S58" s="3"/>
      <c r="T58" s="3"/>
      <c r="U58" s="3"/>
      <c r="V58" s="3"/>
      <c r="W58" s="3"/>
      <c r="X58" s="3"/>
      <c r="Y58" s="3"/>
      <c r="Z58" s="3"/>
      <c r="AA58" s="3"/>
    </row>
    <row r="59" spans="2:27" x14ac:dyDescent="0.25">
      <c r="B59" s="1" t="s">
        <v>90</v>
      </c>
      <c r="J59" s="3">
        <f t="shared" ref="J59:J64" si="124">+S59-G59-H59-I59</f>
        <v>0</v>
      </c>
      <c r="P59" s="3"/>
      <c r="Q59" s="3">
        <v>1069.348</v>
      </c>
      <c r="R59" s="3"/>
      <c r="S59" s="3"/>
      <c r="T59" s="3"/>
      <c r="U59" s="3"/>
      <c r="V59" s="3"/>
      <c r="W59" s="3"/>
      <c r="X59" s="3"/>
      <c r="Y59" s="3"/>
      <c r="Z59" s="3"/>
      <c r="AA59" s="3"/>
    </row>
    <row r="60" spans="2:27" x14ac:dyDescent="0.25">
      <c r="B60" s="1" t="s">
        <v>72</v>
      </c>
      <c r="C60" s="3"/>
      <c r="D60" s="3"/>
      <c r="E60" s="3"/>
      <c r="F60" s="3"/>
      <c r="G60" s="3"/>
      <c r="H60" s="3">
        <f>4.312-G60</f>
        <v>4.3120000000000003</v>
      </c>
      <c r="I60" s="3">
        <f>4.312-H60-G60</f>
        <v>0</v>
      </c>
      <c r="J60" s="3">
        <f t="shared" si="124"/>
        <v>2.9589999999999996</v>
      </c>
      <c r="K60" s="3"/>
      <c r="L60" s="3">
        <f>3.63-K60</f>
        <v>3.63</v>
      </c>
      <c r="P60" s="3"/>
      <c r="Q60" s="3"/>
      <c r="R60" s="3">
        <v>10.87</v>
      </c>
      <c r="S60" s="3">
        <v>7.2709999999999999</v>
      </c>
      <c r="T60" s="3"/>
      <c r="U60" s="3"/>
      <c r="V60" s="3"/>
      <c r="W60" s="3"/>
      <c r="X60" s="3"/>
      <c r="Y60" s="3"/>
      <c r="Z60" s="3"/>
      <c r="AA60" s="3"/>
    </row>
    <row r="61" spans="2:27" x14ac:dyDescent="0.25">
      <c r="B61" s="1" t="s">
        <v>73</v>
      </c>
      <c r="C61" s="3"/>
      <c r="D61" s="3"/>
      <c r="E61" s="3"/>
      <c r="F61" s="3"/>
      <c r="G61" s="3">
        <v>6.0000000000000001E-3</v>
      </c>
      <c r="H61" s="3">
        <f>0.045-G61</f>
        <v>3.9E-2</v>
      </c>
      <c r="I61" s="3">
        <f>0.061-H61-G61</f>
        <v>1.6E-2</v>
      </c>
      <c r="J61" s="3">
        <f t="shared" si="124"/>
        <v>2.6999999999999989E-2</v>
      </c>
      <c r="K61" s="3">
        <v>0.01</v>
      </c>
      <c r="L61" s="3">
        <f>0.036-K61</f>
        <v>2.5999999999999995E-2</v>
      </c>
      <c r="P61" s="3">
        <v>0.246</v>
      </c>
      <c r="Q61" s="3">
        <v>9.4E-2</v>
      </c>
      <c r="R61" s="3">
        <v>0.109</v>
      </c>
      <c r="S61" s="3">
        <v>8.7999999999999995E-2</v>
      </c>
      <c r="T61" s="3"/>
      <c r="U61" s="3"/>
      <c r="V61" s="3"/>
      <c r="W61" s="3"/>
      <c r="X61" s="3"/>
      <c r="Y61" s="3"/>
      <c r="Z61" s="3"/>
      <c r="AA61" s="3"/>
    </row>
    <row r="62" spans="2:27" x14ac:dyDescent="0.25">
      <c r="B62" s="1" t="s">
        <v>74</v>
      </c>
      <c r="C62" s="3"/>
      <c r="D62" s="3"/>
      <c r="E62" s="3"/>
      <c r="F62" s="3"/>
      <c r="G62" s="3">
        <v>-12.433999999999999</v>
      </c>
      <c r="H62" s="3">
        <f>-27.737-G62</f>
        <v>-15.302999999999999</v>
      </c>
      <c r="I62" s="3">
        <f>-51.782-H62-G62</f>
        <v>-24.045000000000002</v>
      </c>
      <c r="J62" s="3">
        <f t="shared" si="124"/>
        <v>-16.195999999999998</v>
      </c>
      <c r="K62" s="3">
        <v>-22.963999999999999</v>
      </c>
      <c r="L62" s="3">
        <f>-37.984-K62</f>
        <v>-15.020000000000003</v>
      </c>
      <c r="P62" s="3"/>
      <c r="Q62" s="3">
        <v>-3.343</v>
      </c>
      <c r="R62" s="3">
        <v>-168.22399999999999</v>
      </c>
      <c r="S62" s="3">
        <v>-67.977999999999994</v>
      </c>
      <c r="T62" s="3"/>
      <c r="U62" s="3"/>
      <c r="V62" s="3"/>
      <c r="W62" s="3"/>
      <c r="X62" s="3"/>
      <c r="Y62" s="3"/>
      <c r="Z62" s="3"/>
      <c r="AA62" s="3"/>
    </row>
    <row r="63" spans="2:27" x14ac:dyDescent="0.25">
      <c r="B63" s="1" t="s">
        <v>88</v>
      </c>
      <c r="C63" s="3"/>
      <c r="D63" s="3"/>
      <c r="E63" s="3"/>
      <c r="F63" s="3"/>
      <c r="G63" s="3"/>
      <c r="H63" s="3"/>
      <c r="I63" s="3"/>
      <c r="J63" s="3">
        <f t="shared" si="124"/>
        <v>0</v>
      </c>
      <c r="K63" s="3"/>
      <c r="L63" s="3"/>
      <c r="P63" s="3"/>
      <c r="Q63" s="3">
        <v>-6.83</v>
      </c>
      <c r="R63" s="3">
        <v>-0.109</v>
      </c>
      <c r="S63" s="3"/>
      <c r="T63" s="3"/>
      <c r="U63" s="3"/>
      <c r="V63" s="3"/>
      <c r="W63" s="3"/>
      <c r="X63" s="3"/>
      <c r="Y63" s="3"/>
      <c r="Z63" s="3"/>
      <c r="AA63" s="3"/>
    </row>
    <row r="64" spans="2:27" x14ac:dyDescent="0.25">
      <c r="B64" s="1" t="s">
        <v>89</v>
      </c>
      <c r="C64" s="3"/>
      <c r="D64" s="3"/>
      <c r="E64" s="3"/>
      <c r="F64" s="3"/>
      <c r="G64" s="3"/>
      <c r="H64" s="3"/>
      <c r="I64" s="3"/>
      <c r="J64" s="3">
        <f t="shared" si="124"/>
        <v>0</v>
      </c>
      <c r="K64" s="3"/>
      <c r="L64" s="3"/>
      <c r="P64" s="3">
        <v>-2.1549999999999998</v>
      </c>
      <c r="Q64" s="3">
        <v>-0.9</v>
      </c>
      <c r="R64" s="3"/>
      <c r="S64" s="3"/>
      <c r="T64" s="3"/>
      <c r="U64" s="3"/>
      <c r="V64" s="3"/>
      <c r="W64" s="3"/>
      <c r="X64" s="3"/>
      <c r="Y64" s="3"/>
      <c r="Z64" s="3"/>
      <c r="AA64" s="3"/>
    </row>
    <row r="65" spans="2:27" x14ac:dyDescent="0.25">
      <c r="B65" s="1" t="s">
        <v>75</v>
      </c>
      <c r="C65" s="3">
        <f t="shared" ref="C65:K65" si="125">+SUM(C60:C62)</f>
        <v>0</v>
      </c>
      <c r="D65" s="3">
        <f t="shared" si="125"/>
        <v>0</v>
      </c>
      <c r="E65" s="3">
        <f t="shared" si="125"/>
        <v>0</v>
      </c>
      <c r="F65" s="3">
        <f t="shared" si="125"/>
        <v>0</v>
      </c>
      <c r="G65" s="3">
        <f t="shared" si="125"/>
        <v>-12.427999999999999</v>
      </c>
      <c r="H65" s="3">
        <f t="shared" si="125"/>
        <v>-10.951999999999998</v>
      </c>
      <c r="I65" s="3">
        <f t="shared" si="125"/>
        <v>-24.029000000000003</v>
      </c>
      <c r="J65" s="3">
        <f>+S65-G65-H65-I65</f>
        <v>-13.209999999999994</v>
      </c>
      <c r="K65" s="3">
        <f t="shared" si="125"/>
        <v>-22.953999999999997</v>
      </c>
      <c r="L65" s="3">
        <f>+SUM(L60:L62)</f>
        <v>-11.364000000000004</v>
      </c>
      <c r="P65" s="3">
        <f t="shared" ref="P65" si="126">+SUM(P59:P64)</f>
        <v>-1.9089999999999998</v>
      </c>
      <c r="Q65" s="3">
        <f>+SUM(Q59:Q64)</f>
        <v>1058.3689999999999</v>
      </c>
      <c r="R65" s="3">
        <f t="shared" ref="R65:S65" si="127">+SUM(R59:R64)</f>
        <v>-157.35400000000001</v>
      </c>
      <c r="S65" s="3">
        <f t="shared" si="127"/>
        <v>-60.618999999999993</v>
      </c>
      <c r="T65" s="3"/>
      <c r="U65" s="3"/>
      <c r="V65" s="3"/>
      <c r="W65" s="3"/>
      <c r="X65" s="3"/>
      <c r="Y65" s="3"/>
      <c r="Z65" s="3"/>
      <c r="AA65" s="3"/>
    </row>
    <row r="67" spans="2:27" x14ac:dyDescent="0.25">
      <c r="B67" s="4" t="s">
        <v>76</v>
      </c>
      <c r="C67" s="6">
        <f t="shared" ref="C67:K67" si="128">+C46+C48+C50</f>
        <v>-1.3860000000000001</v>
      </c>
      <c r="D67" s="6">
        <f t="shared" si="128"/>
        <v>-10.186</v>
      </c>
      <c r="E67" s="6">
        <f t="shared" si="128"/>
        <v>-7.2360000000000007</v>
      </c>
      <c r="F67" s="6">
        <f t="shared" si="128"/>
        <v>4.0380000000000811</v>
      </c>
      <c r="G67" s="6">
        <f t="shared" si="128"/>
        <v>9.0960000000000019</v>
      </c>
      <c r="H67" s="6">
        <f t="shared" si="128"/>
        <v>18.079999999999988</v>
      </c>
      <c r="I67" s="6">
        <f t="shared" si="128"/>
        <v>22.071000000000019</v>
      </c>
      <c r="J67" s="6">
        <f t="shared" si="128"/>
        <v>28.590999999999934</v>
      </c>
      <c r="K67" s="6">
        <f t="shared" si="128"/>
        <v>38.673000000000002</v>
      </c>
      <c r="L67" s="6">
        <f>+L46+L48+L50</f>
        <v>32.822000000000003</v>
      </c>
      <c r="M67" s="4"/>
      <c r="N67" s="4"/>
      <c r="O67" s="4"/>
      <c r="P67" s="6">
        <f t="shared" ref="P67:R67" si="129">+P46+P48+P50</f>
        <v>23.51600000000003</v>
      </c>
      <c r="Q67" s="6">
        <f t="shared" si="129"/>
        <v>2.3429999999999755</v>
      </c>
      <c r="R67" s="6">
        <f t="shared" si="129"/>
        <v>-14.76999999999992</v>
      </c>
      <c r="S67" s="6">
        <f>+S46+S48+S50</f>
        <v>77.837999999999965</v>
      </c>
    </row>
    <row r="68" spans="2:27" x14ac:dyDescent="0.25">
      <c r="B68" s="1" t="s">
        <v>97</v>
      </c>
      <c r="J68" s="3">
        <f t="shared" ref="J68:K68" si="130">+SUM(G67:J67)</f>
        <v>77.837999999999937</v>
      </c>
      <c r="K68" s="3">
        <f t="shared" si="130"/>
        <v>107.41499999999995</v>
      </c>
      <c r="L68" s="3">
        <f>+SUM(I67:L67)</f>
        <v>122.15699999999995</v>
      </c>
    </row>
    <row r="69" spans="2:27" x14ac:dyDescent="0.25">
      <c r="J69" s="3"/>
      <c r="K69" s="3"/>
      <c r="L69" s="3"/>
    </row>
    <row r="70" spans="2:27" x14ac:dyDescent="0.25">
      <c r="B70" s="1" t="s">
        <v>79</v>
      </c>
      <c r="C70" s="3"/>
      <c r="D70" s="3"/>
      <c r="E70" s="3"/>
      <c r="F70" s="3"/>
      <c r="G70" s="3"/>
      <c r="H70" s="3">
        <f>488.121+699.506</f>
        <v>1187.627</v>
      </c>
      <c r="I70" s="3"/>
      <c r="J70" s="3"/>
      <c r="K70" s="3"/>
      <c r="L70" s="3">
        <f>310.266+708.848</f>
        <v>1019.114</v>
      </c>
      <c r="S70" s="3">
        <f>488.121+699.506</f>
        <v>1187.627</v>
      </c>
      <c r="T70" s="3">
        <f>+S70+T23</f>
        <v>1133.53910976</v>
      </c>
      <c r="U70" s="3">
        <f t="shared" ref="U70:AA70" si="131">+T70+U23</f>
        <v>1120.7584146239997</v>
      </c>
      <c r="V70" s="3">
        <f t="shared" si="131"/>
        <v>1162.5667964355196</v>
      </c>
      <c r="W70" s="3">
        <f t="shared" si="131"/>
        <v>1276.6710739174118</v>
      </c>
      <c r="X70" s="3">
        <f t="shared" si="131"/>
        <v>1484.8547107456484</v>
      </c>
      <c r="Y70" s="3">
        <f t="shared" si="131"/>
        <v>1813.8180008302706</v>
      </c>
      <c r="Z70" s="3">
        <f t="shared" si="131"/>
        <v>2296.1839635845236</v>
      </c>
      <c r="AA70" s="3">
        <f t="shared" si="131"/>
        <v>2971.7020074863008</v>
      </c>
    </row>
    <row r="72" spans="2:27" x14ac:dyDescent="0.25">
      <c r="B72" s="1" t="s">
        <v>93</v>
      </c>
      <c r="H72" s="3">
        <v>19105</v>
      </c>
      <c r="I72" s="3">
        <v>19551</v>
      </c>
      <c r="J72" s="3">
        <v>20261</v>
      </c>
      <c r="K72" s="3">
        <v>20549</v>
      </c>
      <c r="L72" s="3">
        <v>21744</v>
      </c>
      <c r="Q72" s="3">
        <v>14814</v>
      </c>
      <c r="R72" s="3">
        <v>17722</v>
      </c>
      <c r="S72" s="3">
        <v>20261</v>
      </c>
    </row>
    <row r="73" spans="2:27" x14ac:dyDescent="0.25">
      <c r="B73" s="1" t="s">
        <v>94</v>
      </c>
      <c r="L73" s="7">
        <f>+L72/H72-1</f>
        <v>0.13813137922009955</v>
      </c>
      <c r="R73" s="8">
        <f>+R72/Q72-1</f>
        <v>0.19630079654380994</v>
      </c>
      <c r="S73" s="8">
        <f t="shared" ref="S73" si="132">+S72/R72-1</f>
        <v>0.14326825414738753</v>
      </c>
    </row>
    <row r="74" spans="2:27" x14ac:dyDescent="0.25">
      <c r="B74" s="1" t="s">
        <v>95</v>
      </c>
      <c r="H74" s="3">
        <v>2186</v>
      </c>
      <c r="I74" s="3">
        <v>2268</v>
      </c>
      <c r="J74" s="3">
        <v>2497</v>
      </c>
      <c r="K74" s="3">
        <v>2593</v>
      </c>
      <c r="L74" s="3">
        <v>2839</v>
      </c>
    </row>
    <row r="75" spans="2:27" x14ac:dyDescent="0.25">
      <c r="B75" s="1" t="s">
        <v>94</v>
      </c>
      <c r="L75" s="7">
        <f>+L74/H74-1</f>
        <v>0.29871912168344017</v>
      </c>
    </row>
    <row r="77" spans="2:27" x14ac:dyDescent="0.25">
      <c r="B77" s="1" t="s">
        <v>96</v>
      </c>
      <c r="H77" s="7">
        <v>1.08</v>
      </c>
      <c r="I77" s="7">
        <v>1.08</v>
      </c>
      <c r="J77" s="7">
        <v>1.08</v>
      </c>
      <c r="K77" s="7">
        <v>1.06</v>
      </c>
      <c r="L77" s="7">
        <v>1.06</v>
      </c>
      <c r="Q77" s="7">
        <v>1.1399999999999999</v>
      </c>
      <c r="R77" s="7">
        <v>1.08</v>
      </c>
      <c r="S77" s="7">
        <v>1.08</v>
      </c>
    </row>
    <row r="79" spans="2:27" x14ac:dyDescent="0.25">
      <c r="B79" s="1" t="s">
        <v>110</v>
      </c>
      <c r="H79" s="15">
        <f t="shared" ref="H79:K79" si="133">+H12/(H2/1000)</f>
        <v>2211.5701219512198</v>
      </c>
      <c r="I79" s="15">
        <f t="shared" si="133"/>
        <v>2305.5555555555557</v>
      </c>
      <c r="J79" s="15">
        <f t="shared" si="133"/>
        <v>2386.154992548436</v>
      </c>
      <c r="K79" s="15">
        <f t="shared" si="133"/>
        <v>2446.562962962963</v>
      </c>
      <c r="L79" s="15">
        <f>+L12/(L2/1000)</f>
        <v>2530.9738372093025</v>
      </c>
      <c r="M79" s="1" t="s">
        <v>115</v>
      </c>
    </row>
    <row r="80" spans="2:27" x14ac:dyDescent="0.25">
      <c r="B80" s="1" t="s">
        <v>111</v>
      </c>
      <c r="H80" s="15">
        <f t="shared" ref="H80:K80" si="134">+H79/3</f>
        <v>737.19004065040656</v>
      </c>
      <c r="I80" s="15">
        <f t="shared" si="134"/>
        <v>768.51851851851859</v>
      </c>
      <c r="J80" s="15">
        <f t="shared" si="134"/>
        <v>795.38499751614529</v>
      </c>
      <c r="K80" s="15">
        <f t="shared" si="134"/>
        <v>815.52098765432095</v>
      </c>
      <c r="L80" s="15">
        <f>+L79/3</f>
        <v>843.65794573643416</v>
      </c>
    </row>
    <row r="81" spans="2:12" x14ac:dyDescent="0.25">
      <c r="B81" s="1" t="s">
        <v>112</v>
      </c>
      <c r="H81" s="16">
        <f t="shared" ref="H81:K81" si="135">+H80*12</f>
        <v>8846.2804878048792</v>
      </c>
      <c r="I81" s="16">
        <f t="shared" si="135"/>
        <v>9222.2222222222226</v>
      </c>
      <c r="J81" s="16">
        <f t="shared" si="135"/>
        <v>9544.6199701937439</v>
      </c>
      <c r="K81" s="16">
        <f t="shared" si="135"/>
        <v>9786.2518518518518</v>
      </c>
      <c r="L81" s="16">
        <f>+L80*12</f>
        <v>10123.89534883721</v>
      </c>
    </row>
    <row r="82" spans="2:12" x14ac:dyDescent="0.25">
      <c r="B82" s="1" t="s">
        <v>94</v>
      </c>
      <c r="K82" s="8"/>
      <c r="L82" s="8">
        <f>+L81/H81-1</f>
        <v>0.14442396019362014</v>
      </c>
    </row>
  </sheetData>
  <hyperlinks>
    <hyperlink ref="A1" location="main!A1" display="main" xr:uid="{C9960F2B-A1D9-496C-91DE-34EB4699E6BC}"/>
  </hyperlinks>
  <pageMargins left="0.7" right="0.7" top="0.75" bottom="0.75" header="0.3" footer="0.3"/>
  <drawing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main</vt:lpstr>
      <vt:lpstr>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Alexandre Duarte Morais</dc:creator>
  <cp:lastModifiedBy>Alexandre Duarte Morais</cp:lastModifiedBy>
  <dcterms:created xsi:type="dcterms:W3CDTF">2024-10-05T15:58:49Z</dcterms:created>
  <dcterms:modified xsi:type="dcterms:W3CDTF">2024-10-10T21:59:11Z</dcterms:modified>
</cp:coreProperties>
</file>