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136" documentId="13_ncr:1_{80114281-94E7-439C-BF13-5EF3257F114F}" xr6:coauthVersionLast="47" xr6:coauthVersionMax="47" xr10:uidLastSave="{DCE1A242-C2A6-4BB5-86D2-F5BD35BB65E6}"/>
  <bookViews>
    <workbookView xWindow="3120" yWindow="3120" windowWidth="21600" windowHeight="11295" xr2:uid="{6422DCDE-E80E-4045-9EF7-A64346DD2E81}"/>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 i="2" l="1"/>
  <c r="J20" i="2"/>
  <c r="J19" i="2"/>
  <c r="J15" i="2"/>
  <c r="J14" i="2"/>
  <c r="J13" i="2"/>
  <c r="J12" i="2"/>
  <c r="J9" i="2"/>
  <c r="J8" i="2"/>
  <c r="J7" i="2"/>
  <c r="J6" i="2"/>
  <c r="J3" i="2"/>
  <c r="I6" i="2"/>
  <c r="H6" i="2"/>
  <c r="J4" i="2"/>
  <c r="I25" i="2"/>
  <c r="I29" i="2"/>
  <c r="Q29" i="2"/>
  <c r="I3" i="2"/>
  <c r="I4" i="2"/>
  <c r="H4" i="2"/>
  <c r="H3" i="2"/>
  <c r="Q3" i="2" s="1"/>
  <c r="G5" i="2"/>
  <c r="R18" i="2"/>
  <c r="S18" i="2" s="1"/>
  <c r="T18" i="2" s="1"/>
  <c r="U18" i="2" s="1"/>
  <c r="V18" i="2" s="1"/>
  <c r="W18" i="2" s="1"/>
  <c r="X18" i="2" s="1"/>
  <c r="R24" i="2"/>
  <c r="S24" i="2" s="1"/>
  <c r="T24" i="2" s="1"/>
  <c r="U24" i="2" s="1"/>
  <c r="V24" i="2" s="1"/>
  <c r="W24" i="2" s="1"/>
  <c r="X24" i="2" s="1"/>
  <c r="T2" i="2"/>
  <c r="U2" i="2" s="1"/>
  <c r="V2" i="2" s="1"/>
  <c r="W2" i="2" s="1"/>
  <c r="X2" i="2" s="1"/>
  <c r="E12" i="2"/>
  <c r="E7" i="2"/>
  <c r="E22" i="2"/>
  <c r="E21" i="2"/>
  <c r="E19" i="2"/>
  <c r="E15" i="2"/>
  <c r="E14" i="2"/>
  <c r="E13" i="2"/>
  <c r="E6" i="2"/>
  <c r="E4" i="2"/>
  <c r="E3" i="2"/>
  <c r="E5" i="2" s="1"/>
  <c r="H29" i="2"/>
  <c r="O18" i="2"/>
  <c r="O5" i="2"/>
  <c r="N5" i="2"/>
  <c r="O8" i="2"/>
  <c r="N8" i="2"/>
  <c r="O11" i="2"/>
  <c r="N11" i="2"/>
  <c r="N31" i="2" s="1"/>
  <c r="O16" i="2"/>
  <c r="N16" i="2"/>
  <c r="P18" i="2"/>
  <c r="L18" i="2" s="1"/>
  <c r="P16" i="2"/>
  <c r="P10" i="2"/>
  <c r="L10" i="2" s="1"/>
  <c r="P9" i="2"/>
  <c r="P8" i="2"/>
  <c r="P5" i="2"/>
  <c r="L7" i="2" s="1"/>
  <c r="P29" i="2"/>
  <c r="P36" i="2" s="1"/>
  <c r="O29" i="2"/>
  <c r="O36" i="2" s="1"/>
  <c r="N29" i="2"/>
  <c r="B28" i="2"/>
  <c r="B29" i="2" s="1"/>
  <c r="C28" i="2"/>
  <c r="C29" i="2" s="1"/>
  <c r="G28" i="2"/>
  <c r="G29" i="2" s="1"/>
  <c r="F29" i="2"/>
  <c r="E29" i="2"/>
  <c r="D29" i="2"/>
  <c r="D18" i="2"/>
  <c r="E54" i="2"/>
  <c r="E57" i="2" s="1"/>
  <c r="E46" i="2"/>
  <c r="E39" i="2"/>
  <c r="E48" i="2" s="1"/>
  <c r="G54" i="2"/>
  <c r="F57" i="2"/>
  <c r="D57" i="2"/>
  <c r="C57" i="2"/>
  <c r="B57" i="2"/>
  <c r="F48" i="2"/>
  <c r="D48" i="2"/>
  <c r="C48" i="2"/>
  <c r="B48" i="2"/>
  <c r="G53" i="2"/>
  <c r="G46" i="2"/>
  <c r="G39" i="2"/>
  <c r="AA5" i="2" s="1"/>
  <c r="B18" i="2"/>
  <c r="F18" i="2"/>
  <c r="C18" i="2"/>
  <c r="G18" i="2"/>
  <c r="F16" i="2"/>
  <c r="D16" i="2"/>
  <c r="C16" i="2"/>
  <c r="B16" i="2"/>
  <c r="G16" i="2"/>
  <c r="F10" i="2"/>
  <c r="D10" i="2"/>
  <c r="C10" i="2"/>
  <c r="B10" i="2"/>
  <c r="F9" i="2"/>
  <c r="D9" i="2"/>
  <c r="C9" i="2"/>
  <c r="B9" i="2"/>
  <c r="G10" i="2"/>
  <c r="G9" i="2"/>
  <c r="F8" i="2"/>
  <c r="D8" i="2"/>
  <c r="C8" i="2"/>
  <c r="B8" i="2"/>
  <c r="G8" i="2"/>
  <c r="F5" i="2"/>
  <c r="D5" i="2"/>
  <c r="C5" i="2"/>
  <c r="B5" i="2"/>
  <c r="B2" i="1" a="1"/>
  <c r="B2" i="1" s="1"/>
  <c r="B4" i="1" s="1"/>
  <c r="B7" i="1" s="1"/>
  <c r="L13" i="2" l="1"/>
  <c r="L29" i="2"/>
  <c r="P11" i="2"/>
  <c r="L11" i="2" s="1"/>
  <c r="L14" i="2"/>
  <c r="L28" i="2"/>
  <c r="L8" i="2"/>
  <c r="L16" i="2"/>
  <c r="L15" i="2"/>
  <c r="H15" i="2" s="1"/>
  <c r="L19" i="2"/>
  <c r="L12" i="2"/>
  <c r="L3" i="2"/>
  <c r="L21" i="2"/>
  <c r="G48" i="2"/>
  <c r="L22" i="2"/>
  <c r="H5" i="2"/>
  <c r="E18" i="2"/>
  <c r="Q4" i="2"/>
  <c r="R4" i="2" s="1"/>
  <c r="S4" i="2" s="1"/>
  <c r="T4" i="2" s="1"/>
  <c r="L4" i="2"/>
  <c r="L6" i="2"/>
  <c r="O35" i="2"/>
  <c r="L9" i="2"/>
  <c r="H12" i="2"/>
  <c r="H7" i="2"/>
  <c r="H10" i="2" s="1"/>
  <c r="E10" i="2"/>
  <c r="L5" i="2"/>
  <c r="P35" i="2"/>
  <c r="E8" i="2"/>
  <c r="E16" i="2"/>
  <c r="E9" i="2"/>
  <c r="E11" i="2" s="1"/>
  <c r="P17" i="2"/>
  <c r="L17" i="2" s="1"/>
  <c r="O31" i="2"/>
  <c r="N17" i="2"/>
  <c r="O17" i="2"/>
  <c r="B58" i="2"/>
  <c r="B59" i="2" s="1"/>
  <c r="D58" i="2"/>
  <c r="D59" i="2" s="1"/>
  <c r="F58" i="2"/>
  <c r="F59" i="2" s="1"/>
  <c r="C58" i="2"/>
  <c r="C59" i="2" s="1"/>
  <c r="G57" i="2"/>
  <c r="E58" i="2"/>
  <c r="E59" i="2" s="1"/>
  <c r="G11" i="2"/>
  <c r="F11" i="2"/>
  <c r="D11" i="2"/>
  <c r="B11" i="2"/>
  <c r="C11" i="2"/>
  <c r="H19" i="2" l="1"/>
  <c r="G58" i="2"/>
  <c r="G59" i="2" s="1"/>
  <c r="P31" i="2"/>
  <c r="U4" i="2"/>
  <c r="V4" i="2" s="1"/>
  <c r="W4" i="2" s="1"/>
  <c r="X4" i="2" s="1"/>
  <c r="I5" i="2"/>
  <c r="I14" i="2" s="1"/>
  <c r="R3" i="2"/>
  <c r="S3" i="2" s="1"/>
  <c r="T3" i="2" s="1"/>
  <c r="T5" i="2" s="1"/>
  <c r="H8" i="2"/>
  <c r="H9" i="2"/>
  <c r="H14" i="2"/>
  <c r="H13" i="2"/>
  <c r="G31" i="2"/>
  <c r="E17" i="2"/>
  <c r="E32" i="2" s="1"/>
  <c r="E31" i="2"/>
  <c r="O20" i="2"/>
  <c r="O23" i="2" s="1"/>
  <c r="O32" i="2"/>
  <c r="N20" i="2"/>
  <c r="N23" i="2" s="1"/>
  <c r="N32" i="2"/>
  <c r="P20" i="2"/>
  <c r="P32" i="2"/>
  <c r="C17" i="2"/>
  <c r="C31" i="2"/>
  <c r="G17" i="2"/>
  <c r="D17" i="2"/>
  <c r="D31" i="2"/>
  <c r="E20" i="2"/>
  <c r="E23" i="2" s="1"/>
  <c r="B17" i="2"/>
  <c r="B31" i="2"/>
  <c r="F17" i="2"/>
  <c r="F31" i="2"/>
  <c r="I19" i="2" l="1"/>
  <c r="I7" i="2"/>
  <c r="I10" i="2" s="1"/>
  <c r="I12" i="2"/>
  <c r="P23" i="2"/>
  <c r="L23" i="2" s="1"/>
  <c r="L20" i="2"/>
  <c r="I13" i="2"/>
  <c r="H16" i="2"/>
  <c r="I15" i="2"/>
  <c r="I21" i="2"/>
  <c r="Q5" i="2"/>
  <c r="H31" i="2"/>
  <c r="N25" i="2"/>
  <c r="N33" i="2"/>
  <c r="O25" i="2"/>
  <c r="O33" i="2"/>
  <c r="P25" i="2"/>
  <c r="E33" i="2"/>
  <c r="E25" i="2"/>
  <c r="D20" i="2"/>
  <c r="D23" i="2" s="1"/>
  <c r="D32" i="2"/>
  <c r="G20" i="2"/>
  <c r="G32" i="2"/>
  <c r="C20" i="2"/>
  <c r="C23" i="2" s="1"/>
  <c r="C32" i="2"/>
  <c r="B20" i="2"/>
  <c r="B23" i="2" s="1"/>
  <c r="B32" i="2"/>
  <c r="F20" i="2"/>
  <c r="F23" i="2" s="1"/>
  <c r="F32" i="2"/>
  <c r="P33" i="2" l="1"/>
  <c r="I8" i="2"/>
  <c r="I16" i="2"/>
  <c r="Q21" i="2"/>
  <c r="Q9" i="2"/>
  <c r="R5" i="2"/>
  <c r="Q35" i="2"/>
  <c r="Q6" i="2"/>
  <c r="Q8" i="2" s="1"/>
  <c r="Q15" i="2"/>
  <c r="Q12" i="2"/>
  <c r="Q10" i="2"/>
  <c r="Q13" i="2"/>
  <c r="Q14" i="2"/>
  <c r="Q7" i="2"/>
  <c r="I9" i="2"/>
  <c r="I11" i="2" s="1"/>
  <c r="I31" i="2" s="1"/>
  <c r="H32" i="2"/>
  <c r="H20" i="2"/>
  <c r="H23" i="2" s="1"/>
  <c r="G23" i="2"/>
  <c r="C33" i="2"/>
  <c r="C25" i="2"/>
  <c r="F33" i="2"/>
  <c r="F25" i="2"/>
  <c r="B33" i="2"/>
  <c r="B25" i="2"/>
  <c r="D33" i="2"/>
  <c r="D25" i="2"/>
  <c r="Q11" i="2" l="1"/>
  <c r="Q31" i="2" s="1"/>
  <c r="Q16" i="2"/>
  <c r="Q17" i="2" s="1"/>
  <c r="Q32" i="2" s="1"/>
  <c r="Q36" i="2"/>
  <c r="R6" i="2"/>
  <c r="R15" i="2"/>
  <c r="R7" i="2"/>
  <c r="R14" i="2"/>
  <c r="R13" i="2"/>
  <c r="R12" i="2"/>
  <c r="R21" i="2"/>
  <c r="R10" i="2"/>
  <c r="R9" i="2"/>
  <c r="I17" i="2"/>
  <c r="I32" i="2" s="1"/>
  <c r="R29" i="2"/>
  <c r="R36" i="2" s="1"/>
  <c r="R35" i="2"/>
  <c r="U3" i="2"/>
  <c r="U5" i="2" s="1"/>
  <c r="S5" i="2"/>
  <c r="G25" i="2"/>
  <c r="H33" i="2"/>
  <c r="H35" i="2" s="1"/>
  <c r="H25" i="2"/>
  <c r="G33" i="2"/>
  <c r="G35" i="2" s="1"/>
  <c r="F35" i="2"/>
  <c r="I20" i="2" l="1"/>
  <c r="I23" i="2" s="1"/>
  <c r="Q20" i="2"/>
  <c r="Q23" i="2" s="1"/>
  <c r="Q25" i="2" s="1"/>
  <c r="R11" i="2"/>
  <c r="R31" i="2" s="1"/>
  <c r="R16" i="2"/>
  <c r="S13" i="2"/>
  <c r="S7" i="2"/>
  <c r="S12" i="2"/>
  <c r="S6" i="2"/>
  <c r="S9" i="2"/>
  <c r="S14" i="2"/>
  <c r="S21" i="2"/>
  <c r="S15" i="2"/>
  <c r="U6" i="2"/>
  <c r="U12" i="2"/>
  <c r="U10" i="2"/>
  <c r="U13" i="2"/>
  <c r="U14" i="2"/>
  <c r="U21" i="2"/>
  <c r="U15" i="2"/>
  <c r="U35" i="2"/>
  <c r="U7" i="2"/>
  <c r="V3" i="2"/>
  <c r="S29" i="2"/>
  <c r="S10" i="2"/>
  <c r="S35" i="2"/>
  <c r="R8" i="2"/>
  <c r="I33" i="2" l="1"/>
  <c r="I35" i="2" s="1"/>
  <c r="Q33" i="2"/>
  <c r="R17" i="2"/>
  <c r="R20" i="2" s="1"/>
  <c r="R23" i="2" s="1"/>
  <c r="R33" i="2" s="1"/>
  <c r="S11" i="2"/>
  <c r="S31" i="2" s="1"/>
  <c r="S36" i="2"/>
  <c r="S8" i="2"/>
  <c r="U16" i="2"/>
  <c r="U8" i="2"/>
  <c r="T35" i="2"/>
  <c r="T6" i="2"/>
  <c r="T13" i="2"/>
  <c r="T10" i="2"/>
  <c r="T14" i="2"/>
  <c r="T7" i="2"/>
  <c r="T21" i="2"/>
  <c r="T15" i="2"/>
  <c r="T12" i="2"/>
  <c r="S16" i="2"/>
  <c r="T29" i="2"/>
  <c r="T9" i="2"/>
  <c r="U29" i="2"/>
  <c r="U9" i="2"/>
  <c r="W3" i="2"/>
  <c r="V5" i="2"/>
  <c r="S17" i="2" l="1"/>
  <c r="S20" i="2" s="1"/>
  <c r="S23" i="2" s="1"/>
  <c r="R32" i="2"/>
  <c r="R25" i="2"/>
  <c r="T16" i="2"/>
  <c r="T11" i="2"/>
  <c r="T17" i="2" s="1"/>
  <c r="V13" i="2"/>
  <c r="V14" i="2"/>
  <c r="V6" i="2"/>
  <c r="V15" i="2"/>
  <c r="V7" i="2"/>
  <c r="V12" i="2"/>
  <c r="V21" i="2"/>
  <c r="T8" i="2"/>
  <c r="V10" i="2"/>
  <c r="V9" i="2"/>
  <c r="V35" i="2"/>
  <c r="V29" i="2"/>
  <c r="X3" i="2"/>
  <c r="X5" i="2" s="1"/>
  <c r="X29" i="2" s="1"/>
  <c r="Y29" i="2" s="1"/>
  <c r="Z29" i="2" s="1"/>
  <c r="AA29" i="2" s="1"/>
  <c r="AB29" i="2" s="1"/>
  <c r="AC29" i="2" s="1"/>
  <c r="AD29" i="2" s="1"/>
  <c r="AE29" i="2" s="1"/>
  <c r="AF29" i="2" s="1"/>
  <c r="AG29" i="2" s="1"/>
  <c r="AH29" i="2" s="1"/>
  <c r="AI29" i="2" s="1"/>
  <c r="AJ29" i="2" s="1"/>
  <c r="AK29" i="2" s="1"/>
  <c r="AL29" i="2" s="1"/>
  <c r="AM29" i="2" s="1"/>
  <c r="AN29" i="2" s="1"/>
  <c r="AO29" i="2" s="1"/>
  <c r="AP29" i="2" s="1"/>
  <c r="AQ29" i="2" s="1"/>
  <c r="AR29" i="2" s="1"/>
  <c r="AS29" i="2" s="1"/>
  <c r="AT29" i="2" s="1"/>
  <c r="AU29" i="2" s="1"/>
  <c r="AV29" i="2" s="1"/>
  <c r="AW29" i="2" s="1"/>
  <c r="AX29" i="2" s="1"/>
  <c r="AY29" i="2" s="1"/>
  <c r="W5" i="2"/>
  <c r="U11" i="2"/>
  <c r="S32" i="2" l="1"/>
  <c r="V11" i="2"/>
  <c r="V31" i="2" s="1"/>
  <c r="T31" i="2"/>
  <c r="V16" i="2"/>
  <c r="X14" i="2"/>
  <c r="X21" i="2"/>
  <c r="X15" i="2"/>
  <c r="X13" i="2"/>
  <c r="X12" i="2"/>
  <c r="X7" i="2"/>
  <c r="X6" i="2"/>
  <c r="V8" i="2"/>
  <c r="W13" i="2"/>
  <c r="W6" i="2"/>
  <c r="W14" i="2"/>
  <c r="W21" i="2"/>
  <c r="W15" i="2"/>
  <c r="W12" i="2"/>
  <c r="W7" i="2"/>
  <c r="W29" i="2"/>
  <c r="AA4" i="2" s="1"/>
  <c r="AA6" i="2" s="1"/>
  <c r="AA7" i="2" s="1"/>
  <c r="W10" i="2"/>
  <c r="W9" i="2"/>
  <c r="W35" i="2"/>
  <c r="X10" i="2"/>
  <c r="X9" i="2"/>
  <c r="X35" i="2"/>
  <c r="U17" i="2"/>
  <c r="U31" i="2"/>
  <c r="T20" i="2"/>
  <c r="T23" i="2" s="1"/>
  <c r="T32" i="2"/>
  <c r="S25" i="2"/>
  <c r="S33" i="2"/>
  <c r="V17" i="2" l="1"/>
  <c r="X11" i="2"/>
  <c r="X31" i="2" s="1"/>
  <c r="X8" i="2"/>
  <c r="W16" i="2"/>
  <c r="W8" i="2"/>
  <c r="X16" i="2"/>
  <c r="V20" i="2"/>
  <c r="V23" i="2" s="1"/>
  <c r="V32" i="2"/>
  <c r="T25" i="2"/>
  <c r="T33" i="2"/>
  <c r="U20" i="2"/>
  <c r="U23" i="2" s="1"/>
  <c r="U32" i="2"/>
  <c r="W11" i="2"/>
  <c r="X17" i="2" l="1"/>
  <c r="X20" i="2" s="1"/>
  <c r="X23" i="2" s="1"/>
  <c r="U25" i="2"/>
  <c r="U33" i="2"/>
  <c r="V25" i="2"/>
  <c r="V33" i="2"/>
  <c r="W17" i="2"/>
  <c r="W31" i="2"/>
  <c r="X32" i="2" l="1"/>
  <c r="X25" i="2"/>
  <c r="X33" i="2"/>
  <c r="W20" i="2"/>
  <c r="W23" i="2" s="1"/>
  <c r="W32" i="2"/>
  <c r="W25" i="2" l="1"/>
  <c r="W33" i="2"/>
  <c r="J10" i="2"/>
  <c r="J5" i="2"/>
  <c r="J16" i="2" l="1"/>
  <c r="J11" i="2" l="1"/>
  <c r="J17" i="2" s="1"/>
  <c r="J23" i="2" s="1"/>
  <c r="J2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<sst xmlns="http://schemas.openxmlformats.org/spreadsheetml/2006/main" count="76" uniqueCount="74">
  <si>
    <t>price</t>
  </si>
  <si>
    <t>ticket</t>
  </si>
  <si>
    <t>shares</t>
  </si>
  <si>
    <t>cash</t>
  </si>
  <si>
    <t>debt</t>
  </si>
  <si>
    <t>mc</t>
  </si>
  <si>
    <t>ev</t>
  </si>
  <si>
    <t>product</t>
  </si>
  <si>
    <t>service</t>
  </si>
  <si>
    <t>Total Revenue</t>
  </si>
  <si>
    <t>Product</t>
  </si>
  <si>
    <t>Service</t>
  </si>
  <si>
    <t>Gross Profit</t>
  </si>
  <si>
    <t>R&amp;D</t>
  </si>
  <si>
    <t>M&amp;S</t>
  </si>
  <si>
    <t>G&amp;A</t>
  </si>
  <si>
    <t>Intelectual PP</t>
  </si>
  <si>
    <t>Operating Income</t>
  </si>
  <si>
    <t>Net Interest</t>
  </si>
  <si>
    <t>Other Expenses</t>
  </si>
  <si>
    <t>EBT</t>
  </si>
  <si>
    <t>Taxes</t>
  </si>
  <si>
    <t>Net Income</t>
  </si>
  <si>
    <t>FY 2023 Q2</t>
  </si>
  <si>
    <t>Loss form equity investments</t>
  </si>
  <si>
    <t>FY 2022 Q2</t>
  </si>
  <si>
    <t>PPE</t>
  </si>
  <si>
    <t>FY 2022 Q1</t>
  </si>
  <si>
    <t>FY 2022 Q3</t>
  </si>
  <si>
    <t>FY 2022 Q4</t>
  </si>
  <si>
    <t>FY 2023 Q1</t>
  </si>
  <si>
    <t>FY 2023 Q3</t>
  </si>
  <si>
    <t>FY 2023 Q4</t>
  </si>
  <si>
    <t>COGS</t>
  </si>
  <si>
    <t>Opex</t>
  </si>
  <si>
    <t>Gross Margin %</t>
  </si>
  <si>
    <t>Operating Margin %</t>
  </si>
  <si>
    <t>Net Margin %</t>
  </si>
  <si>
    <t>Revenue Y/Y</t>
  </si>
  <si>
    <t>Balance Sheet</t>
  </si>
  <si>
    <t>Cash</t>
  </si>
  <si>
    <t>AR</t>
  </si>
  <si>
    <t>Inventory</t>
  </si>
  <si>
    <t>Prepaid Expenses &amp; OCA</t>
  </si>
  <si>
    <t>Deferred costs</t>
  </si>
  <si>
    <t>deferred taxes</t>
  </si>
  <si>
    <t>goodwill + Intangibles</t>
  </si>
  <si>
    <t>ONCA</t>
  </si>
  <si>
    <t>Assets</t>
  </si>
  <si>
    <t>A/P</t>
  </si>
  <si>
    <t>A/L</t>
  </si>
  <si>
    <t>A/P&amp;C</t>
  </si>
  <si>
    <t>Deferred Revenue</t>
  </si>
  <si>
    <t>Income Taxes</t>
  </si>
  <si>
    <t>Debt</t>
  </si>
  <si>
    <t>ONCL</t>
  </si>
  <si>
    <t>Liabilities</t>
  </si>
  <si>
    <t>S/E</t>
  </si>
  <si>
    <t>L+S/E</t>
  </si>
  <si>
    <t>Shares</t>
  </si>
  <si>
    <t>EPS</t>
  </si>
  <si>
    <t>Income Statment</t>
  </si>
  <si>
    <t>CFFO</t>
  </si>
  <si>
    <t>CAPEX</t>
  </si>
  <si>
    <t>FCF</t>
  </si>
  <si>
    <t>%Sales</t>
  </si>
  <si>
    <t>FCF Y/Y</t>
  </si>
  <si>
    <t>Discount Rate</t>
  </si>
  <si>
    <t>NPV</t>
  </si>
  <si>
    <t>Net Cash</t>
  </si>
  <si>
    <t>Total Value</t>
  </si>
  <si>
    <t>Per Share</t>
  </si>
  <si>
    <t>Maturity Value</t>
  </si>
  <si>
    <t>FY 2024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</si>
</sst>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_-&quot;€&quot;* #,##0.00_-;\-&quot;€&quot;* #,##0.00_-;_-&quot;€&quot;* &quot;-&quot;??_-;_-@_-"/>
    <numFmt numFmtId="166" formatCode="_([$$-409]* #,##0.00_);_([$$-409]* \(#,##0.00\);_([$$-409]* &quot;-&quot;??_);_(@_)"/>
    <numFmt numFmtId="167" formatCode="_-[$$-409]* #,##0.00_ ;_-[$$-409]* \-#,##0.00\ ;_-[$$-409]* &quot;-&quot;??_ ;_-@_ "/>
    <numFmt numFmtId="168" formatCode="[$$-409]#,##0.00"/>
  </numFmts>
  <fonts count="4" x14ac:knownFonts="1">
    <font>
      <sz val="12"/>
      <color theme="1"/>
      <name val="Calibri"/>
      <family val="2"/>
      <scheme val="minor"/>
    </font>
    <font>
      <sz val="12"/>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165" fontId="1" fillId="0" borderId="0" applyFont="0" applyFill="0" applyBorder="0" applyAlignment="0" applyProtection="0"/>
  </cellStyleXfs>
  <cellXfs count="24">
    <xf numFmtId="0" fontId="0" fillId="0" borderId="0" xfId="0"/>
    <xf numFmtId="0" fontId="2" fillId="0" borderId="0" xfId="0" applyFont="1"/>
    <xf numFmtId="166" fontId="2" fillId="0" borderId="0" xfId="0" applyNumberFormat="1" applyFont="1"/>
    <xf numFmtId="167" fontId="2" fillId="0" borderId="0" xfId="0" applyNumberFormat="1" applyFont="1"/>
    <xf numFmtId="10" fontId="2" fillId="0" borderId="0" xfId="1" applyNumberFormat="1" applyFont="1"/>
    <xf numFmtId="0" fontId="3" fillId="0" borderId="0" xfId="0" applyFont="1"/>
    <xf numFmtId="2" fontId="2" fillId="0" borderId="0" xfId="0" applyNumberFormat="1" applyFont="1"/>
    <xf numFmtId="10" fontId="2" fillId="0" borderId="0" xfId="1" applyNumberFormat="1" applyFont="1" applyBorder="1"/>
    <xf numFmtId="10" fontId="2" fillId="0" borderId="0" xfId="0" applyNumberFormat="1" applyFont="1"/>
    <xf numFmtId="9" fontId="2" fillId="0" borderId="0" xfId="1" applyFont="1" applyBorder="1"/>
    <xf numFmtId="2" fontId="2" fillId="0" borderId="0" xfId="1" applyNumberFormat="1" applyFont="1" applyBorder="1"/>
    <xf numFmtId="14" fontId="2" fillId="0" borderId="0" xfId="0" applyNumberFormat="1" applyFont="1"/>
    <xf numFmtId="3" fontId="2" fillId="0" borderId="0" xfId="0" applyNumberFormat="1" applyFont="1"/>
    <xf numFmtId="9" fontId="2" fillId="0" borderId="0" xfId="1" applyFont="1"/>
    <xf numFmtId="4" fontId="2" fillId="0" borderId="0" xfId="0" applyNumberFormat="1" applyFont="1"/>
    <xf numFmtId="164" fontId="2" fillId="0" borderId="0" xfId="0" applyNumberFormat="1" applyFont="1"/>
    <xf numFmtId="4" fontId="3" fillId="0" borderId="0" xfId="0" applyNumberFormat="1" applyFont="1"/>
    <xf numFmtId="3" fontId="3" fillId="0" borderId="0" xfId="0" applyNumberFormat="1" applyFont="1"/>
    <xf numFmtId="10" fontId="3" fillId="0" borderId="0" xfId="1" applyNumberFormat="1" applyFont="1"/>
    <xf numFmtId="167" fontId="3" fillId="0" borderId="0" xfId="2" applyNumberFormat="1" applyFont="1" applyBorder="1"/>
    <xf numFmtId="167" fontId="3" fillId="0" borderId="0" xfId="0" applyNumberFormat="1" applyFont="1"/>
    <xf numFmtId="9" fontId="2" fillId="0" borderId="0" xfId="0" applyNumberFormat="1" applyFont="1"/>
    <xf numFmtId="168" fontId="2" fillId="0" borderId="0" xfId="0" applyNumberFormat="1" applyFont="1"/>
    <xf numFmtId="2" fontId="3" fillId="0" borderId="0" xfId="0" applyNumberFormat="1" applyFont="1"/>
  </cellXfs>
  <cellStyles count="3">
    <cellStyle name="Currency" xfId="2"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16</xdr:col>
      <xdr:colOff>812800</xdr:colOff>
      <xdr:row>0</xdr:row>
      <xdr:rowOff>123825</xdr:rowOff>
    </xdr:from>
    <xdr:to>
      <xdr:col>16</xdr:col>
      <xdr:colOff>812800</xdr:colOff>
      <xdr:row>38</xdr:row>
      <xdr:rowOff>34925</xdr:rowOff>
    </xdr:to>
    <xdr:cxnSp macro="">
      <xdr:nvCxnSpPr>
        <xdr:cNvPr id="3" name="Straight Connector 2">
          <a:extLst>
            <a:ext uri="{FF2B5EF4-FFF2-40B4-BE49-F238E27FC236}">
              <a16:creationId xmlns:a16="http://schemas.microsoft.com/office/drawing/2014/main" id="{97407838-B1A8-B4E1-78DA-39374BCFE750}"/>
            </a:ext>
          </a:extLst>
        </xdr:cNvPr>
        <xdr:cNvCxnSpPr/>
      </xdr:nvCxnSpPr>
      <xdr:spPr>
        <a:xfrm>
          <a:off x="14166850" y="123825"/>
          <a:ext cx="0" cy="64262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797719</xdr:colOff>
      <xdr:row>0</xdr:row>
      <xdr:rowOff>147637</xdr:rowOff>
    </xdr:from>
    <xdr:to>
      <xdr:col>8</xdr:col>
      <xdr:colOff>814229</xdr:colOff>
      <xdr:row>59</xdr:row>
      <xdr:rowOff>164147</xdr:rowOff>
    </xdr:to>
    <xdr:cxnSp macro="">
      <xdr:nvCxnSpPr>
        <xdr:cNvPr id="8" name="Straight Connector 7">
          <a:extLst>
            <a:ext uri="{FF2B5EF4-FFF2-40B4-BE49-F238E27FC236}">
              <a16:creationId xmlns:a16="http://schemas.microsoft.com/office/drawing/2014/main" id="{2E79AA3E-56C1-271F-ED37-0E42C05B32E6}"/>
            </a:ext>
          </a:extLst>
        </xdr:cNvPr>
        <xdr:cNvCxnSpPr/>
      </xdr:nvCxnSpPr>
      <xdr:spPr>
        <a:xfrm flipH="1">
          <a:off x="8417719" y="147637"/>
          <a:ext cx="16510" cy="1013206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en-GB</v>
    <v>a1tg3m</v>
    <v>268435456</v>
    <v>1</v>
    <v>Powered by Refinitiv</v>
    <v>0</v>
    <v>FORTINET, INC. (XNAS:FTNT)</v>
    <v>2</v>
    <v>3</v>
    <v>Finance</v>
    <v>4</v>
    <v>81.239999999999995</v>
    <v>44.12</v>
    <v>1.079</v>
    <v>0.68</v>
    <v>-2.8089999999999999E-3</v>
    <v>1.0155000000000001E-2</v>
    <v>-0.19</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909 Kifer Road, SUNNYVALE, CA, 94086 US</v>
    <v>67.89</v>
    <v>Software &amp; IT Services</v>
    <v>Stock</v>
    <v>45346.041356885937</v>
    <v>0</v>
    <v>67.19</v>
    <v>51941405344</v>
    <v>FORTINET, INC.</v>
    <v>FORTINET, INC.</v>
    <v>67.5</v>
    <v>45.942900000000002</v>
    <v>66.959999999999994</v>
    <v>67.64</v>
    <v>67.45</v>
    <v>767909600</v>
    <v>FTNT</v>
    <v>FORTINET, INC. (XNAS:FTNT)</v>
    <v>3772767</v>
    <v>7943293</v>
    <v>2000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60C33-F69D-A64E-9763-ACA956BFA234}">
  <dimension ref="A1:B7"/>
  <sheetViews>
    <sheetView tabSelected="1" workbookViewId="0">
      <selection activeCell="C20" sqref="C20"/>
    </sheetView>
  </sheetViews>
  <sheetFormatPr defaultColWidth="10.75" defaultRowHeight="15" x14ac:dyDescent="0.25"/>
  <cols>
    <col min="1" max="1" width="10.75" style="1"/>
    <col min="2" max="2" width="29.25" style="1" bestFit="1" customWidth="1"/>
    <col min="3" max="16384" width="10.75" style="1"/>
  </cols>
  <sheetData>
    <row r="1" spans="1:2" x14ac:dyDescent="0.25">
      <c r="A1" s="1" t="s">
        <v>1</v>
      </c>
      <c r="B1" s="1" t="e" vm="1">
        <v>#VALUE!</v>
      </c>
    </row>
    <row r="2" spans="1:2" x14ac:dyDescent="0.25">
      <c r="A2" s="1" t="s">
        <v>0</v>
      </c>
      <c r="B2" s="2" cm="1">
        <f t="array" ref="B2">_FV(B1,"Price")</f>
        <v>67.64</v>
      </c>
    </row>
    <row r="3" spans="1:2" x14ac:dyDescent="0.25">
      <c r="A3" s="1" t="s">
        <v>2</v>
      </c>
      <c r="B3" s="1">
        <v>785</v>
      </c>
    </row>
    <row r="4" spans="1:2" x14ac:dyDescent="0.25">
      <c r="A4" s="1" t="s">
        <v>5</v>
      </c>
      <c r="B4" s="3">
        <f>B2*B3</f>
        <v>53097.4</v>
      </c>
    </row>
    <row r="5" spans="1:2" x14ac:dyDescent="0.25">
      <c r="A5" s="1" t="s">
        <v>3</v>
      </c>
      <c r="B5" s="1">
        <v>3317</v>
      </c>
    </row>
    <row r="6" spans="1:2" x14ac:dyDescent="0.25">
      <c r="A6" s="1" t="s">
        <v>4</v>
      </c>
      <c r="B6" s="1">
        <v>991</v>
      </c>
    </row>
    <row r="7" spans="1:2" x14ac:dyDescent="0.25">
      <c r="A7" s="1" t="s">
        <v>6</v>
      </c>
      <c r="B7" s="3">
        <f>B4-B5+B6</f>
        <v>50771.4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02E23-B3CE-C84B-AF3E-BF986E749526}">
  <dimension ref="A1:AY59"/>
  <sheetViews>
    <sheetView zoomScale="80" zoomScaleNormal="80" workbookViewId="0">
      <pane xSplit="1" topLeftCell="D1" activePane="topRight" state="frozen"/>
      <selection pane="topRight" activeCell="Q36" sqref="Q36"/>
    </sheetView>
  </sheetViews>
  <sheetFormatPr defaultColWidth="10.75" defaultRowHeight="15" x14ac:dyDescent="0.25"/>
  <cols>
    <col min="1" max="1" width="24.25" style="1" bestFit="1" customWidth="1"/>
    <col min="2" max="6" width="10.75" style="1"/>
    <col min="7" max="7" width="11.25" style="1" bestFit="1" customWidth="1"/>
    <col min="8" max="19" width="10.75" style="1"/>
    <col min="20" max="22" width="11.75" style="1" bestFit="1" customWidth="1"/>
    <col min="23" max="25" width="10.75" style="1"/>
    <col min="26" max="26" width="12.75" style="1" bestFit="1" customWidth="1"/>
    <col min="27" max="16384" width="10.75" style="1"/>
  </cols>
  <sheetData>
    <row r="1" spans="1:27" x14ac:dyDescent="0.25">
      <c r="B1" s="11">
        <v>44561</v>
      </c>
      <c r="F1" s="11">
        <v>44926</v>
      </c>
      <c r="L1" s="1" t="s">
        <v>65</v>
      </c>
    </row>
    <row r="2" spans="1:27" x14ac:dyDescent="0.25">
      <c r="A2" s="5" t="s">
        <v>61</v>
      </c>
      <c r="B2" s="5" t="s">
        <v>27</v>
      </c>
      <c r="C2" s="5" t="s">
        <v>25</v>
      </c>
      <c r="D2" s="5" t="s">
        <v>28</v>
      </c>
      <c r="E2" s="5" t="s">
        <v>29</v>
      </c>
      <c r="F2" s="5" t="s">
        <v>30</v>
      </c>
      <c r="G2" s="5" t="s">
        <v>23</v>
      </c>
      <c r="H2" s="5" t="s">
        <v>31</v>
      </c>
      <c r="I2" s="5" t="s">
        <v>32</v>
      </c>
      <c r="J2" s="5" t="s">
        <v>73</v>
      </c>
      <c r="N2" s="5">
        <v>2020</v>
      </c>
      <c r="O2" s="5">
        <v>2021</v>
      </c>
      <c r="P2" s="5">
        <v>2022</v>
      </c>
      <c r="Q2" s="5">
        <v>2023</v>
      </c>
      <c r="R2" s="5">
        <v>2024</v>
      </c>
      <c r="S2" s="5">
        <v>2025</v>
      </c>
      <c r="T2" s="5">
        <f>S2+1</f>
        <v>2026</v>
      </c>
      <c r="U2" s="5">
        <f t="shared" ref="U2:X2" si="0">T2+1</f>
        <v>2027</v>
      </c>
      <c r="V2" s="5">
        <f t="shared" si="0"/>
        <v>2028</v>
      </c>
      <c r="W2" s="5">
        <f t="shared" si="0"/>
        <v>2029</v>
      </c>
      <c r="X2" s="5">
        <f t="shared" si="0"/>
        <v>2030</v>
      </c>
      <c r="Z2" s="1" t="s">
        <v>72</v>
      </c>
      <c r="AA2" s="21">
        <v>0.02</v>
      </c>
    </row>
    <row r="3" spans="1:27" x14ac:dyDescent="0.25">
      <c r="A3" s="1" t="s">
        <v>7</v>
      </c>
      <c r="B3" s="12">
        <v>371</v>
      </c>
      <c r="C3" s="12">
        <v>400.7</v>
      </c>
      <c r="D3" s="12">
        <v>468.7</v>
      </c>
      <c r="E3" s="12">
        <f>P3-SUM(B3:D3)</f>
        <v>540.09999999999991</v>
      </c>
      <c r="F3" s="12">
        <v>500.7</v>
      </c>
      <c r="G3" s="12">
        <v>472.6</v>
      </c>
      <c r="H3" s="12">
        <f>465.9</f>
        <v>465.9</v>
      </c>
      <c r="I3" s="12">
        <f>927</f>
        <v>927</v>
      </c>
      <c r="J3" s="1">
        <f>F3*1.05</f>
        <v>525.73500000000001</v>
      </c>
      <c r="L3" s="4">
        <f>P3/$P$5</f>
        <v>0.40306515144655231</v>
      </c>
      <c r="N3" s="14">
        <v>916.4</v>
      </c>
      <c r="O3" s="14">
        <v>1255</v>
      </c>
      <c r="P3" s="14">
        <v>1780.5</v>
      </c>
      <c r="Q3" s="14">
        <f>SUM(F3:I3)</f>
        <v>2366.1999999999998</v>
      </c>
      <c r="R3" s="14">
        <f>Q3*1.18</f>
        <v>2792.1159999999995</v>
      </c>
      <c r="S3" s="14">
        <f>R3*1.18</f>
        <v>3294.6968799999991</v>
      </c>
      <c r="T3" s="14">
        <f>S3*1.17</f>
        <v>3854.7953495999986</v>
      </c>
      <c r="U3" s="14">
        <f>T3*1.15</f>
        <v>4433.0146520399985</v>
      </c>
      <c r="V3" s="14">
        <f>U3*1.15</f>
        <v>5097.9668498459978</v>
      </c>
      <c r="W3" s="14">
        <f>V3*1.1</f>
        <v>5607.7635348305976</v>
      </c>
      <c r="X3" s="14">
        <f>W3*1.1</f>
        <v>6168.5398883136577</v>
      </c>
      <c r="Z3" s="1" t="s">
        <v>67</v>
      </c>
      <c r="AA3" s="8">
        <v>0.08</v>
      </c>
    </row>
    <row r="4" spans="1:27" x14ac:dyDescent="0.25">
      <c r="A4" s="1" t="s">
        <v>8</v>
      </c>
      <c r="B4" s="12">
        <v>583.79999999999995</v>
      </c>
      <c r="C4" s="12">
        <v>629.4</v>
      </c>
      <c r="D4" s="12">
        <v>680.8</v>
      </c>
      <c r="E4" s="12">
        <f>P4-SUM(B4:D4)</f>
        <v>742.90000000000032</v>
      </c>
      <c r="F4" s="12">
        <v>761.6</v>
      </c>
      <c r="G4" s="12">
        <v>820.2</v>
      </c>
      <c r="H4" s="12">
        <f>868.7</f>
        <v>868.7</v>
      </c>
      <c r="I4" s="12">
        <f>488.1</f>
        <v>488.1</v>
      </c>
      <c r="J4" s="1">
        <f>F4*1.1</f>
        <v>837.7600000000001</v>
      </c>
      <c r="L4" s="4">
        <f>P4/$P$5</f>
        <v>0.59693484855344781</v>
      </c>
      <c r="N4" s="14">
        <v>1678</v>
      </c>
      <c r="O4" s="14">
        <v>2087.1999999999998</v>
      </c>
      <c r="P4" s="14">
        <v>2636.9</v>
      </c>
      <c r="Q4" s="14">
        <f>SUM(F4:I4)</f>
        <v>2938.6</v>
      </c>
      <c r="R4" s="14">
        <f>Q4*1.18</f>
        <v>3467.5479999999998</v>
      </c>
      <c r="S4" s="14">
        <f>R4*1.18</f>
        <v>4091.7066399999994</v>
      </c>
      <c r="T4" s="14">
        <f>S4*1.17</f>
        <v>4787.296768799999</v>
      </c>
      <c r="U4" s="14">
        <f>T4*1.15</f>
        <v>5505.3912841199981</v>
      </c>
      <c r="V4" s="14">
        <f>U4*1.15</f>
        <v>6331.1999767379975</v>
      </c>
      <c r="W4" s="14">
        <f>V4*1.1</f>
        <v>6964.3199744117983</v>
      </c>
      <c r="X4" s="14">
        <f>W4*1.1</f>
        <v>7660.7519718529784</v>
      </c>
      <c r="Z4" s="1" t="s">
        <v>68</v>
      </c>
      <c r="AA4" s="22">
        <f>NPV(AA3,Q29:AY29)</f>
        <v>56075.484275751063</v>
      </c>
    </row>
    <row r="5" spans="1:27" x14ac:dyDescent="0.25">
      <c r="A5" s="5" t="s">
        <v>9</v>
      </c>
      <c r="B5" s="12">
        <f t="shared" ref="B5:G5" si="1">B3+B4</f>
        <v>954.8</v>
      </c>
      <c r="C5" s="12">
        <f t="shared" si="1"/>
        <v>1030.0999999999999</v>
      </c>
      <c r="D5" s="12">
        <f t="shared" si="1"/>
        <v>1149.5</v>
      </c>
      <c r="E5" s="12">
        <f t="shared" si="1"/>
        <v>1283.0000000000002</v>
      </c>
      <c r="F5" s="12">
        <f t="shared" si="1"/>
        <v>1262.3</v>
      </c>
      <c r="G5" s="12">
        <f t="shared" si="1"/>
        <v>1292.8000000000002</v>
      </c>
      <c r="H5" s="12">
        <f>H3+H4</f>
        <v>1334.6</v>
      </c>
      <c r="I5" s="12">
        <f t="shared" ref="I5" si="2">I3+I4</f>
        <v>1415.1</v>
      </c>
      <c r="J5" s="12">
        <f>J3+J4</f>
        <v>1363.4950000000001</v>
      </c>
      <c r="L5" s="4">
        <f t="shared" ref="L5" si="3">G5/$G$5</f>
        <v>1</v>
      </c>
      <c r="N5" s="16">
        <f t="shared" ref="N5:O5" si="4">N3+N4</f>
        <v>2594.4</v>
      </c>
      <c r="O5" s="16">
        <f t="shared" si="4"/>
        <v>3342.2</v>
      </c>
      <c r="P5" s="16">
        <f>P3+P4</f>
        <v>4417.3999999999996</v>
      </c>
      <c r="Q5" s="16">
        <f>Q3+Q4</f>
        <v>5304.7999999999993</v>
      </c>
      <c r="R5" s="16">
        <f t="shared" ref="R5:X5" si="5">R3+R4</f>
        <v>6259.6639999999989</v>
      </c>
      <c r="S5" s="16">
        <f t="shared" si="5"/>
        <v>7386.403519999998</v>
      </c>
      <c r="T5" s="16">
        <f t="shared" si="5"/>
        <v>8642.0921183999981</v>
      </c>
      <c r="U5" s="16">
        <f>U3+U4</f>
        <v>9938.4059361599975</v>
      </c>
      <c r="V5" s="16">
        <f t="shared" si="5"/>
        <v>11429.166826583994</v>
      </c>
      <c r="W5" s="16">
        <f t="shared" si="5"/>
        <v>12572.083509242395</v>
      </c>
      <c r="X5" s="16">
        <f t="shared" si="5"/>
        <v>13829.291860166635</v>
      </c>
      <c r="Z5" s="1" t="s">
        <v>69</v>
      </c>
      <c r="AA5" s="22">
        <f>G39-G55</f>
        <v>2326.3999999999996</v>
      </c>
    </row>
    <row r="6" spans="1:27" x14ac:dyDescent="0.25">
      <c r="A6" s="1" t="s">
        <v>10</v>
      </c>
      <c r="B6" s="12">
        <v>161</v>
      </c>
      <c r="C6" s="12">
        <v>155.19999999999999</v>
      </c>
      <c r="D6" s="12">
        <v>185.2</v>
      </c>
      <c r="E6" s="12">
        <f>P6-SUM(B6:D6)</f>
        <v>189.89999999999998</v>
      </c>
      <c r="F6" s="12">
        <v>193.6</v>
      </c>
      <c r="G6" s="12">
        <v>174.5</v>
      </c>
      <c r="H6" s="12">
        <f>$H$5*L6</f>
        <v>208.85792094897451</v>
      </c>
      <c r="I6" s="12">
        <f>$I$5*L6</f>
        <v>221.45574998868111</v>
      </c>
      <c r="J6" s="12">
        <f>$J$5*L6</f>
        <v>213.37983734776114</v>
      </c>
      <c r="L6" s="4">
        <f>P6/$P$5</f>
        <v>0.15649477067958528</v>
      </c>
      <c r="N6" s="14">
        <v>352.4</v>
      </c>
      <c r="O6" s="14">
        <v>487.7</v>
      </c>
      <c r="P6" s="14">
        <v>691.3</v>
      </c>
      <c r="Q6" s="14">
        <f>$Q$5*L6</f>
        <v>830.17345950106392</v>
      </c>
      <c r="R6" s="14">
        <f>$R5*L$6</f>
        <v>979.60468221125529</v>
      </c>
      <c r="S6" s="14">
        <f t="shared" ref="S6:W7" si="6">$L6*S$5</f>
        <v>1155.9335250092813</v>
      </c>
      <c r="T6" s="14">
        <f t="shared" si="6"/>
        <v>1352.4422242608591</v>
      </c>
      <c r="U6" s="14">
        <f t="shared" si="6"/>
        <v>1555.3085578999878</v>
      </c>
      <c r="V6" s="14">
        <f>$L6*V$5</f>
        <v>1788.6048415849857</v>
      </c>
      <c r="W6" s="14">
        <f t="shared" si="6"/>
        <v>1967.4653257434843</v>
      </c>
      <c r="X6" s="14">
        <f>$L6*X$5</f>
        <v>2164.211858317833</v>
      </c>
      <c r="Z6" s="1" t="s">
        <v>70</v>
      </c>
      <c r="AA6" s="22">
        <f>AA4+AA5</f>
        <v>58401.884275751065</v>
      </c>
    </row>
    <row r="7" spans="1:27" x14ac:dyDescent="0.25">
      <c r="A7" s="1" t="s">
        <v>11</v>
      </c>
      <c r="B7" s="12">
        <v>92.8</v>
      </c>
      <c r="C7" s="12">
        <v>95.6</v>
      </c>
      <c r="D7" s="12">
        <v>97.8</v>
      </c>
      <c r="E7" s="12">
        <f>P7-SUM(B7:D7)</f>
        <v>107.40000000000003</v>
      </c>
      <c r="F7" s="12">
        <v>114.2</v>
      </c>
      <c r="G7" s="12">
        <v>121.3</v>
      </c>
      <c r="H7" s="12">
        <f>$H$5*L7</f>
        <v>118.91577851224703</v>
      </c>
      <c r="I7" s="12">
        <f>$I$5*L7</f>
        <v>126.08850455018791</v>
      </c>
      <c r="J7" s="12">
        <f>$J$5*L7</f>
        <v>121.4903862000272</v>
      </c>
      <c r="L7" s="4">
        <f>P7/$P$5</f>
        <v>8.91021868067189E-2</v>
      </c>
      <c r="N7" s="14">
        <v>217.6</v>
      </c>
      <c r="O7" s="14">
        <v>295.3</v>
      </c>
      <c r="P7" s="14">
        <v>393.6</v>
      </c>
      <c r="Q7" s="14">
        <f>$Q$5*L7</f>
        <v>472.66928057228233</v>
      </c>
      <c r="R7" s="14">
        <f>$R$5*L7</f>
        <v>557.74975107529315</v>
      </c>
      <c r="S7" s="14">
        <f t="shared" si="6"/>
        <v>658.14470626884588</v>
      </c>
      <c r="T7" s="14">
        <f>$L7*T$5</f>
        <v>770.02930633454969</v>
      </c>
      <c r="U7" s="14">
        <f t="shared" si="6"/>
        <v>885.53370228473216</v>
      </c>
      <c r="V7" s="14">
        <f>$L7*V$5</f>
        <v>1018.3637576274417</v>
      </c>
      <c r="W7" s="14">
        <f t="shared" si="6"/>
        <v>1120.200133390186</v>
      </c>
      <c r="X7" s="14">
        <f>$L7*X$5</f>
        <v>1232.2201467292045</v>
      </c>
      <c r="Z7" s="1" t="s">
        <v>71</v>
      </c>
      <c r="AA7" s="22">
        <f>AA6/Q24</f>
        <v>75.552243565007842</v>
      </c>
    </row>
    <row r="8" spans="1:27" x14ac:dyDescent="0.25">
      <c r="A8" s="5" t="s">
        <v>33</v>
      </c>
      <c r="B8" s="12">
        <f t="shared" ref="B8:F8" si="7">B6+B7</f>
        <v>253.8</v>
      </c>
      <c r="C8" s="12">
        <f t="shared" si="7"/>
        <v>250.79999999999998</v>
      </c>
      <c r="D8" s="12">
        <f t="shared" si="7"/>
        <v>283</v>
      </c>
      <c r="E8" s="12">
        <f t="shared" si="7"/>
        <v>297.3</v>
      </c>
      <c r="F8" s="12">
        <f t="shared" si="7"/>
        <v>307.8</v>
      </c>
      <c r="G8" s="12">
        <f>G6+G7</f>
        <v>295.8</v>
      </c>
      <c r="H8" s="12">
        <f t="shared" ref="H8:I8" si="8">H6+H7</f>
        <v>327.77369946122155</v>
      </c>
      <c r="I8" s="12">
        <f t="shared" si="8"/>
        <v>347.54425453886904</v>
      </c>
      <c r="J8" s="12">
        <f>J6+J7</f>
        <v>334.87022354778833</v>
      </c>
      <c r="L8" s="4">
        <f>P8/$P$5</f>
        <v>0.2455969574863042</v>
      </c>
      <c r="N8" s="14">
        <f t="shared" ref="N8:O8" si="9">N6+N7</f>
        <v>570</v>
      </c>
      <c r="O8" s="14">
        <f t="shared" si="9"/>
        <v>783</v>
      </c>
      <c r="P8" s="14">
        <f t="shared" ref="P8:X8" si="10">P6+P7</f>
        <v>1084.9000000000001</v>
      </c>
      <c r="Q8" s="14">
        <f t="shared" si="10"/>
        <v>1302.8427400733462</v>
      </c>
      <c r="R8" s="14">
        <f t="shared" si="10"/>
        <v>1537.3544332865486</v>
      </c>
      <c r="S8" s="14">
        <f t="shared" si="10"/>
        <v>1814.0782312781271</v>
      </c>
      <c r="T8" s="14">
        <f t="shared" si="10"/>
        <v>2122.4715305954087</v>
      </c>
      <c r="U8" s="14">
        <f t="shared" si="10"/>
        <v>2440.8422601847201</v>
      </c>
      <c r="V8" s="14">
        <f t="shared" si="10"/>
        <v>2806.9685992124273</v>
      </c>
      <c r="W8" s="14">
        <f t="shared" si="10"/>
        <v>3087.6654591336701</v>
      </c>
      <c r="X8" s="14">
        <f t="shared" si="10"/>
        <v>3396.4320050470378</v>
      </c>
    </row>
    <row r="9" spans="1:27" x14ac:dyDescent="0.25">
      <c r="A9" s="1" t="s">
        <v>10</v>
      </c>
      <c r="B9" s="12">
        <f t="shared" ref="B9:G10" si="11">B3-B6</f>
        <v>210</v>
      </c>
      <c r="C9" s="12">
        <f t="shared" si="11"/>
        <v>245.5</v>
      </c>
      <c r="D9" s="12">
        <f t="shared" si="11"/>
        <v>283.5</v>
      </c>
      <c r="E9" s="12">
        <f t="shared" si="11"/>
        <v>350.19999999999993</v>
      </c>
      <c r="F9" s="12">
        <f t="shared" si="11"/>
        <v>307.10000000000002</v>
      </c>
      <c r="G9" s="12">
        <f t="shared" si="11"/>
        <v>298.10000000000002</v>
      </c>
      <c r="H9" s="12">
        <f t="shared" ref="H9:I9" si="12">H3-H6</f>
        <v>257.04207905102544</v>
      </c>
      <c r="I9" s="12">
        <f t="shared" si="12"/>
        <v>705.54425001131892</v>
      </c>
      <c r="J9" s="12">
        <f>J3-J6</f>
        <v>312.35516265223885</v>
      </c>
      <c r="L9" s="4">
        <f t="shared" ref="L9:L23" si="13">P9/$P$5</f>
        <v>0.24657038076696702</v>
      </c>
      <c r="N9" s="14">
        <v>564</v>
      </c>
      <c r="O9" s="14">
        <v>767.3</v>
      </c>
      <c r="P9" s="14">
        <f>P3-P6</f>
        <v>1089.2</v>
      </c>
      <c r="Q9" s="14">
        <f>$Q$5*L9</f>
        <v>1308.0065558926065</v>
      </c>
      <c r="R9" s="14">
        <f>$L9*R$5</f>
        <v>1543.4477359532755</v>
      </c>
      <c r="S9" s="14">
        <f>$L9*S$5</f>
        <v>1821.2683284248651</v>
      </c>
      <c r="T9" s="14">
        <f t="shared" ref="T9:X10" si="14">$L9*T$5</f>
        <v>2130.883944257092</v>
      </c>
      <c r="U9" s="14">
        <f t="shared" si="14"/>
        <v>2450.516535895656</v>
      </c>
      <c r="V9" s="14">
        <f t="shared" si="14"/>
        <v>2818.0940162800039</v>
      </c>
      <c r="W9" s="14">
        <f t="shared" si="14"/>
        <v>3099.9034179080045</v>
      </c>
      <c r="X9" s="14">
        <f t="shared" si="14"/>
        <v>3409.8937596988048</v>
      </c>
    </row>
    <row r="10" spans="1:27" x14ac:dyDescent="0.25">
      <c r="A10" s="1" t="s">
        <v>11</v>
      </c>
      <c r="B10" s="12">
        <f t="shared" si="11"/>
        <v>490.99999999999994</v>
      </c>
      <c r="C10" s="12">
        <f t="shared" si="11"/>
        <v>533.79999999999995</v>
      </c>
      <c r="D10" s="12">
        <f t="shared" si="11"/>
        <v>583</v>
      </c>
      <c r="E10" s="12">
        <f t="shared" si="11"/>
        <v>635.50000000000023</v>
      </c>
      <c r="F10" s="12">
        <f t="shared" si="11"/>
        <v>647.4</v>
      </c>
      <c r="G10" s="12">
        <f t="shared" si="11"/>
        <v>698.90000000000009</v>
      </c>
      <c r="H10" s="12">
        <f t="shared" ref="H10:I10" si="15">H4-H7</f>
        <v>749.78422148775303</v>
      </c>
      <c r="I10" s="12">
        <f t="shared" si="15"/>
        <v>362.01149544981212</v>
      </c>
      <c r="J10" s="12">
        <f t="shared" ref="J10" si="16">J4-J7</f>
        <v>716.26961379997294</v>
      </c>
      <c r="L10" s="4">
        <f t="shared" si="13"/>
        <v>0.50783266174672892</v>
      </c>
      <c r="N10" s="14">
        <v>1460.4</v>
      </c>
      <c r="O10" s="14">
        <v>1791.9</v>
      </c>
      <c r="P10" s="14">
        <f>P4-P7</f>
        <v>2243.3000000000002</v>
      </c>
      <c r="Q10" s="14">
        <f>$Q$5*L10</f>
        <v>2693.9507040340472</v>
      </c>
      <c r="R10" s="14">
        <f>$L10*R$5</f>
        <v>3178.8618307601755</v>
      </c>
      <c r="S10" s="14">
        <f>$L10*S$5</f>
        <v>3751.0569602970068</v>
      </c>
      <c r="T10" s="14">
        <f>$L10*T$5</f>
        <v>4388.7366435474978</v>
      </c>
      <c r="U10" s="14">
        <f>$L10*U$5</f>
        <v>5047.0471400796232</v>
      </c>
      <c r="V10" s="14">
        <f t="shared" si="14"/>
        <v>5804.104211091565</v>
      </c>
      <c r="W10" s="14">
        <f t="shared" si="14"/>
        <v>6384.5146322007222</v>
      </c>
      <c r="X10" s="14">
        <f t="shared" si="14"/>
        <v>7022.9660954207948</v>
      </c>
    </row>
    <row r="11" spans="1:27" x14ac:dyDescent="0.25">
      <c r="A11" s="5" t="s">
        <v>12</v>
      </c>
      <c r="B11" s="12">
        <f t="shared" ref="B11:F11" si="17">B9+B10</f>
        <v>701</v>
      </c>
      <c r="C11" s="12">
        <f t="shared" si="17"/>
        <v>779.3</v>
      </c>
      <c r="D11" s="12">
        <f t="shared" si="17"/>
        <v>866.5</v>
      </c>
      <c r="E11" s="12">
        <f t="shared" si="17"/>
        <v>985.70000000000016</v>
      </c>
      <c r="F11" s="12">
        <f t="shared" si="17"/>
        <v>954.5</v>
      </c>
      <c r="G11" s="12">
        <f>G9+G10</f>
        <v>997.00000000000011</v>
      </c>
      <c r="H11" s="12">
        <v>1030</v>
      </c>
      <c r="I11" s="12">
        <f t="shared" ref="I11:J11" si="18">I9+I10</f>
        <v>1067.555745461131</v>
      </c>
      <c r="J11" s="12">
        <f t="shared" si="18"/>
        <v>1028.6247764522118</v>
      </c>
      <c r="L11" s="4">
        <f t="shared" si="13"/>
        <v>0.75440304251369594</v>
      </c>
      <c r="N11" s="14">
        <f t="shared" ref="N11:O11" si="19">N9+N10</f>
        <v>2024.4</v>
      </c>
      <c r="O11" s="14">
        <f t="shared" si="19"/>
        <v>2559.1999999999998</v>
      </c>
      <c r="P11" s="14">
        <f>P9+P10</f>
        <v>3332.5</v>
      </c>
      <c r="Q11" s="14">
        <f t="shared" ref="Q11:X11" si="20">Q9+Q10</f>
        <v>4001.9572599266539</v>
      </c>
      <c r="R11" s="14">
        <f t="shared" si="20"/>
        <v>4722.3095667134512</v>
      </c>
      <c r="S11" s="14">
        <f t="shared" si="20"/>
        <v>5572.3252887218714</v>
      </c>
      <c r="T11" s="14">
        <f t="shared" si="20"/>
        <v>6519.6205878045894</v>
      </c>
      <c r="U11" s="14">
        <f t="shared" si="20"/>
        <v>7497.5636759752797</v>
      </c>
      <c r="V11" s="14">
        <f t="shared" si="20"/>
        <v>8622.1982273715694</v>
      </c>
      <c r="W11" s="14">
        <f t="shared" si="20"/>
        <v>9484.4180501087267</v>
      </c>
      <c r="X11" s="14">
        <f t="shared" si="20"/>
        <v>10432.859855119599</v>
      </c>
    </row>
    <row r="12" spans="1:27" x14ac:dyDescent="0.25">
      <c r="A12" s="1" t="s">
        <v>13</v>
      </c>
      <c r="B12" s="12">
        <v>124.9</v>
      </c>
      <c r="C12" s="12">
        <v>124.3</v>
      </c>
      <c r="D12" s="12">
        <v>134.30000000000001</v>
      </c>
      <c r="E12" s="12">
        <f>P12-SUM(B12:D12)</f>
        <v>128.89999999999998</v>
      </c>
      <c r="F12" s="12">
        <v>151.1</v>
      </c>
      <c r="G12" s="12">
        <v>153.30000000000001</v>
      </c>
      <c r="H12" s="12">
        <f>$H$5*L12</f>
        <v>154.80804092905328</v>
      </c>
      <c r="I12" s="12">
        <f>$I$5*L12</f>
        <v>164.14570561868973</v>
      </c>
      <c r="J12" s="12">
        <f>$J$5*L12</f>
        <v>158.15974057137686</v>
      </c>
      <c r="L12" s="4">
        <f t="shared" si="13"/>
        <v>0.1159958346538688</v>
      </c>
      <c r="N12" s="14">
        <v>341.4</v>
      </c>
      <c r="O12" s="14">
        <v>424.2</v>
      </c>
      <c r="P12" s="14">
        <v>512.4</v>
      </c>
      <c r="Q12" s="14">
        <f>$Q$5*L12</f>
        <v>615.33470367184316</v>
      </c>
      <c r="R12" s="14">
        <f t="shared" ref="R12:X15" si="21">$L12*R$5</f>
        <v>726.09495033277483</v>
      </c>
      <c r="S12" s="14">
        <f t="shared" si="21"/>
        <v>856.79204139267426</v>
      </c>
      <c r="T12" s="14">
        <f t="shared" si="21"/>
        <v>1002.4466884294289</v>
      </c>
      <c r="U12" s="14">
        <f>$L12*U$5</f>
        <v>1152.8136916938431</v>
      </c>
      <c r="V12" s="14">
        <f t="shared" si="21"/>
        <v>1325.7357454479193</v>
      </c>
      <c r="W12" s="14">
        <f t="shared" si="21"/>
        <v>1458.3093199927114</v>
      </c>
      <c r="X12" s="14">
        <f t="shared" si="21"/>
        <v>1604.1402519919827</v>
      </c>
    </row>
    <row r="13" spans="1:27" x14ac:dyDescent="0.25">
      <c r="A13" s="1" t="s">
        <v>14</v>
      </c>
      <c r="B13" s="12">
        <v>387.6</v>
      </c>
      <c r="C13" s="12">
        <v>415.5</v>
      </c>
      <c r="D13" s="12">
        <v>427.1</v>
      </c>
      <c r="E13" s="12">
        <f t="shared" ref="E13:E15" si="22">P13-SUM(B13:D13)</f>
        <v>455.89999999999986</v>
      </c>
      <c r="F13" s="12">
        <v>478.3</v>
      </c>
      <c r="G13" s="12">
        <v>515.9</v>
      </c>
      <c r="H13" s="12">
        <f t="shared" ref="H13:H15" si="23">$H$5*L13</f>
        <v>509.41030017657442</v>
      </c>
      <c r="I13" s="12">
        <f t="shared" ref="I13:I15" si="24">$I$5*L13</f>
        <v>540.13675691583285</v>
      </c>
      <c r="J13" s="12">
        <f>$J$5*L13</f>
        <v>520.4393805179518</v>
      </c>
      <c r="L13" s="4">
        <f t="shared" si="13"/>
        <v>0.38169511477339613</v>
      </c>
      <c r="N13" s="14">
        <v>1071.9000000000001</v>
      </c>
      <c r="O13" s="14">
        <v>1345.7</v>
      </c>
      <c r="P13" s="14">
        <v>1686.1</v>
      </c>
      <c r="Q13" s="14">
        <f t="shared" ref="Q13:Q15" si="25">$Q$5*L13</f>
        <v>2024.8162448499115</v>
      </c>
      <c r="R13" s="14">
        <f t="shared" si="21"/>
        <v>2389.2831689228956</v>
      </c>
      <c r="S13" s="14">
        <f t="shared" si="21"/>
        <v>2819.3541393290166</v>
      </c>
      <c r="T13" s="14">
        <f>$L13*T$5</f>
        <v>3298.6443430149493</v>
      </c>
      <c r="U13" s="14">
        <f>$L13*U$5</f>
        <v>3793.4409944671916</v>
      </c>
      <c r="V13" s="14">
        <f>$L13*V$5</f>
        <v>4362.4571436372689</v>
      </c>
      <c r="W13" s="14">
        <f t="shared" si="21"/>
        <v>4798.7028580009965</v>
      </c>
      <c r="X13" s="14">
        <f t="shared" si="21"/>
        <v>5278.5731438010962</v>
      </c>
    </row>
    <row r="14" spans="1:27" x14ac:dyDescent="0.25">
      <c r="A14" s="1" t="s">
        <v>15</v>
      </c>
      <c r="B14" s="12">
        <v>38.6</v>
      </c>
      <c r="C14" s="12">
        <v>45.4</v>
      </c>
      <c r="D14" s="12">
        <v>40.700000000000003</v>
      </c>
      <c r="E14" s="12">
        <f t="shared" si="22"/>
        <v>44.3</v>
      </c>
      <c r="F14" s="12">
        <v>52.8</v>
      </c>
      <c r="G14" s="12">
        <v>49.9</v>
      </c>
      <c r="H14" s="12">
        <f t="shared" si="23"/>
        <v>51.058858151854039</v>
      </c>
      <c r="I14" s="12">
        <f t="shared" si="24"/>
        <v>54.13861094761625</v>
      </c>
      <c r="J14" s="12">
        <f>$J$5*L14</f>
        <v>52.164317245438504</v>
      </c>
      <c r="L14" s="4">
        <f t="shared" si="13"/>
        <v>3.8257798705120666E-2</v>
      </c>
      <c r="N14" s="14">
        <v>119.5</v>
      </c>
      <c r="O14" s="14">
        <v>143.5</v>
      </c>
      <c r="P14" s="14">
        <v>169</v>
      </c>
      <c r="Q14" s="14">
        <f t="shared" si="25"/>
        <v>202.94997057092408</v>
      </c>
      <c r="R14" s="14">
        <f t="shared" si="21"/>
        <v>239.4809652736904</v>
      </c>
      <c r="S14" s="14">
        <f t="shared" si="21"/>
        <v>282.58753902295467</v>
      </c>
      <c r="T14" s="14">
        <f t="shared" si="21"/>
        <v>330.62742065685694</v>
      </c>
      <c r="U14" s="14">
        <f t="shared" si="21"/>
        <v>380.22153375538551</v>
      </c>
      <c r="V14" s="14">
        <f t="shared" si="21"/>
        <v>437.25476381869322</v>
      </c>
      <c r="W14" s="14">
        <f t="shared" si="21"/>
        <v>480.98024020056255</v>
      </c>
      <c r="X14" s="14">
        <f t="shared" si="21"/>
        <v>529.07826422061885</v>
      </c>
    </row>
    <row r="15" spans="1:27" x14ac:dyDescent="0.25">
      <c r="A15" s="1" t="s">
        <v>16</v>
      </c>
      <c r="B15" s="12">
        <v>-1.1000000000000001</v>
      </c>
      <c r="C15" s="12">
        <v>-1.2</v>
      </c>
      <c r="D15" s="12">
        <v>-1.1000000000000001</v>
      </c>
      <c r="E15" s="12">
        <f t="shared" si="22"/>
        <v>-1.1999999999999997</v>
      </c>
      <c r="F15" s="12">
        <v>-1.2</v>
      </c>
      <c r="G15" s="12">
        <v>-1.1000000000000001</v>
      </c>
      <c r="H15" s="12">
        <f t="shared" si="23"/>
        <v>-1.3897677366776835</v>
      </c>
      <c r="I15" s="12">
        <f t="shared" si="24"/>
        <v>-1.4735953275682527</v>
      </c>
      <c r="J15" s="12">
        <f>$J$5*L15</f>
        <v>-1.4198571557930004</v>
      </c>
      <c r="L15" s="4">
        <f t="shared" si="13"/>
        <v>-1.0413365328021007E-3</v>
      </c>
      <c r="N15" s="14">
        <v>-40.200000000000003</v>
      </c>
      <c r="O15" s="14">
        <v>-4.5999999999999996</v>
      </c>
      <c r="P15" s="14">
        <v>-4.5999999999999996</v>
      </c>
      <c r="Q15" s="14">
        <f t="shared" si="25"/>
        <v>-5.524082039208583</v>
      </c>
      <c r="R15" s="14">
        <f t="shared" si="21"/>
        <v>-6.5184168062661278</v>
      </c>
      <c r="S15" s="14">
        <f t="shared" si="21"/>
        <v>-7.6917318313940299</v>
      </c>
      <c r="T15" s="14">
        <f t="shared" si="21"/>
        <v>-8.9993262427310157</v>
      </c>
      <c r="U15" s="14">
        <f t="shared" si="21"/>
        <v>-10.349225179140667</v>
      </c>
      <c r="V15" s="14">
        <f t="shared" si="21"/>
        <v>-11.901608956011765</v>
      </c>
      <c r="W15" s="14">
        <f t="shared" si="21"/>
        <v>-13.091769851612943</v>
      </c>
      <c r="X15" s="14">
        <f t="shared" si="21"/>
        <v>-14.400946836774239</v>
      </c>
    </row>
    <row r="16" spans="1:27" x14ac:dyDescent="0.25">
      <c r="A16" s="5" t="s">
        <v>34</v>
      </c>
      <c r="B16" s="12">
        <f t="shared" ref="B16:F16" si="26">SUM(B12:B15)</f>
        <v>550</v>
      </c>
      <c r="C16" s="12">
        <f t="shared" si="26"/>
        <v>583.99999999999989</v>
      </c>
      <c r="D16" s="12">
        <f t="shared" si="26"/>
        <v>601.00000000000011</v>
      </c>
      <c r="E16" s="12">
        <f t="shared" si="26"/>
        <v>627.89999999999975</v>
      </c>
      <c r="F16" s="12">
        <f t="shared" si="26"/>
        <v>680.99999999999989</v>
      </c>
      <c r="G16" s="12">
        <f>SUM(G12:G15)</f>
        <v>718</v>
      </c>
      <c r="H16" s="12">
        <f t="shared" ref="H16:I16" si="27">SUM(H12:H15)</f>
        <v>713.88743152080406</v>
      </c>
      <c r="I16" s="12">
        <f t="shared" si="27"/>
        <v>756.9474781545706</v>
      </c>
      <c r="J16" s="12">
        <f t="shared" ref="J16" si="28">SUM(J12:J15)</f>
        <v>729.3435811789742</v>
      </c>
      <c r="L16" s="4">
        <f t="shared" si="13"/>
        <v>0.53490741159958355</v>
      </c>
      <c r="N16" s="14">
        <f t="shared" ref="N16:O16" si="29">SUM(N12:N15)</f>
        <v>1492.6000000000001</v>
      </c>
      <c r="O16" s="14">
        <f t="shared" si="29"/>
        <v>1908.8000000000002</v>
      </c>
      <c r="P16" s="14">
        <f>SUM(P12:P15)</f>
        <v>2362.9</v>
      </c>
      <c r="Q16" s="14">
        <f t="shared" ref="Q16:X16" si="30">SUM(Q12:Q15)</f>
        <v>2837.5768370534702</v>
      </c>
      <c r="R16" s="14">
        <f t="shared" si="30"/>
        <v>3348.3406677230946</v>
      </c>
      <c r="S16" s="14">
        <f t="shared" si="30"/>
        <v>3951.0419879132519</v>
      </c>
      <c r="T16" s="14">
        <f t="shared" si="30"/>
        <v>4622.7191258585044</v>
      </c>
      <c r="U16" s="14">
        <f t="shared" si="30"/>
        <v>5316.1269947372793</v>
      </c>
      <c r="V16" s="14">
        <f t="shared" si="30"/>
        <v>6113.5460439478702</v>
      </c>
      <c r="W16" s="14">
        <f t="shared" si="30"/>
        <v>6724.9006483426574</v>
      </c>
      <c r="X16" s="14">
        <f t="shared" si="30"/>
        <v>7397.3907131769238</v>
      </c>
    </row>
    <row r="17" spans="1:51" x14ac:dyDescent="0.25">
      <c r="A17" s="5" t="s">
        <v>17</v>
      </c>
      <c r="B17" s="12">
        <f t="shared" ref="B17:G17" si="31">B11-B16</f>
        <v>151</v>
      </c>
      <c r="C17" s="12">
        <f t="shared" si="31"/>
        <v>195.30000000000007</v>
      </c>
      <c r="D17" s="12">
        <f t="shared" si="31"/>
        <v>265.49999999999989</v>
      </c>
      <c r="E17" s="12">
        <f t="shared" si="31"/>
        <v>357.80000000000041</v>
      </c>
      <c r="F17" s="12">
        <f t="shared" si="31"/>
        <v>273.50000000000011</v>
      </c>
      <c r="G17" s="12">
        <f t="shared" si="31"/>
        <v>279.00000000000011</v>
      </c>
      <c r="H17" s="12">
        <v>371.4</v>
      </c>
      <c r="I17" s="12">
        <f t="shared" ref="I17:J17" si="32">I11-I16</f>
        <v>310.60826730656038</v>
      </c>
      <c r="J17" s="12">
        <f t="shared" si="32"/>
        <v>299.28119527323759</v>
      </c>
      <c r="L17" s="4">
        <f t="shared" si="13"/>
        <v>0.21949563091411237</v>
      </c>
      <c r="N17" s="14">
        <f>N11-N16</f>
        <v>531.79999999999995</v>
      </c>
      <c r="O17" s="14">
        <f>O11-O16</f>
        <v>650.39999999999964</v>
      </c>
      <c r="P17" s="14">
        <f>P11-P16</f>
        <v>969.59999999999991</v>
      </c>
      <c r="Q17" s="14">
        <f t="shared" ref="Q17:X17" si="33">Q11-Q16</f>
        <v>1164.3804228731838</v>
      </c>
      <c r="R17" s="14">
        <f t="shared" si="33"/>
        <v>1373.9688989903566</v>
      </c>
      <c r="S17" s="14">
        <f t="shared" si="33"/>
        <v>1621.2833008086195</v>
      </c>
      <c r="T17" s="14">
        <f t="shared" si="33"/>
        <v>1896.901461946085</v>
      </c>
      <c r="U17" s="14">
        <f t="shared" si="33"/>
        <v>2181.4366812380003</v>
      </c>
      <c r="V17" s="14">
        <f t="shared" si="33"/>
        <v>2508.6521834236992</v>
      </c>
      <c r="W17" s="14">
        <f t="shared" si="33"/>
        <v>2759.5174017660693</v>
      </c>
      <c r="X17" s="14">
        <f t="shared" si="33"/>
        <v>3035.4691419426754</v>
      </c>
    </row>
    <row r="18" spans="1:51" x14ac:dyDescent="0.25">
      <c r="A18" s="1" t="s">
        <v>18</v>
      </c>
      <c r="B18" s="12">
        <f>1.3-4.5</f>
        <v>-3.2</v>
      </c>
      <c r="C18" s="12">
        <f>2.4-4.5</f>
        <v>-2.1</v>
      </c>
      <c r="D18" s="12">
        <f>4.6-4.5</f>
        <v>9.9999999999999645E-2</v>
      </c>
      <c r="E18" s="12">
        <f t="shared" ref="E18:E19" si="34">P18-SUM(B18:D18)</f>
        <v>4.5999999999999996</v>
      </c>
      <c r="F18" s="12">
        <f>20.6-5</f>
        <v>15.600000000000001</v>
      </c>
      <c r="G18" s="12">
        <f>31.6-5.2</f>
        <v>26.400000000000002</v>
      </c>
      <c r="H18" s="12">
        <v>26</v>
      </c>
      <c r="I18" s="12">
        <v>26</v>
      </c>
      <c r="J18" s="12">
        <v>26</v>
      </c>
      <c r="L18" s="4">
        <f t="shared" si="13"/>
        <v>-1.3582650427853521E-4</v>
      </c>
      <c r="N18" s="14">
        <v>17.7</v>
      </c>
      <c r="O18" s="14">
        <f>4.5-14.9</f>
        <v>-10.4</v>
      </c>
      <c r="P18" s="14">
        <f>17.4-18</f>
        <v>-0.60000000000000142</v>
      </c>
      <c r="Q18" s="14">
        <v>-10</v>
      </c>
      <c r="R18" s="14">
        <f>Q18*1.03</f>
        <v>-10.3</v>
      </c>
      <c r="S18" s="14">
        <f t="shared" ref="S18:X18" si="35">R18*1.03</f>
        <v>-10.609000000000002</v>
      </c>
      <c r="T18" s="14">
        <f t="shared" si="35"/>
        <v>-10.927270000000002</v>
      </c>
      <c r="U18" s="14">
        <f t="shared" si="35"/>
        <v>-11.255088100000002</v>
      </c>
      <c r="V18" s="14">
        <f t="shared" si="35"/>
        <v>-11.592740743000002</v>
      </c>
      <c r="W18" s="14">
        <f t="shared" si="35"/>
        <v>-11.940522965290002</v>
      </c>
      <c r="X18" s="14">
        <f t="shared" si="35"/>
        <v>-12.298738654248703</v>
      </c>
    </row>
    <row r="19" spans="1:51" x14ac:dyDescent="0.25">
      <c r="A19" s="1" t="s">
        <v>19</v>
      </c>
      <c r="B19" s="12">
        <v>-9.1</v>
      </c>
      <c r="C19" s="12">
        <v>-9.3000000000000007</v>
      </c>
      <c r="D19" s="12">
        <v>-0.9</v>
      </c>
      <c r="E19" s="12">
        <f t="shared" si="34"/>
        <v>5.7999999999999972</v>
      </c>
      <c r="F19" s="12">
        <v>2</v>
      </c>
      <c r="G19" s="12">
        <v>-6.2</v>
      </c>
      <c r="H19" s="12">
        <f>H5*L19</f>
        <v>-4.078666183727985</v>
      </c>
      <c r="I19" s="12">
        <f>I5*L19</f>
        <v>-4.3246819396024812</v>
      </c>
      <c r="J19" s="12">
        <f>J5*L19</f>
        <v>-4.166972087653372</v>
      </c>
      <c r="L19" s="4">
        <f t="shared" si="13"/>
        <v>-3.0560963462670353E-3</v>
      </c>
      <c r="N19" s="14">
        <v>-7.8</v>
      </c>
      <c r="O19" s="14">
        <v>-11.6</v>
      </c>
      <c r="P19" s="14">
        <v>-13.5</v>
      </c>
      <c r="Q19" s="14">
        <v>-10</v>
      </c>
      <c r="R19" s="14">
        <v>-10</v>
      </c>
      <c r="S19" s="14">
        <v>-10</v>
      </c>
      <c r="T19" s="14">
        <v>-10</v>
      </c>
      <c r="U19" s="14">
        <v>-10</v>
      </c>
      <c r="V19" s="14">
        <v>-10</v>
      </c>
      <c r="W19" s="14">
        <v>-10</v>
      </c>
      <c r="X19" s="14">
        <v>-10</v>
      </c>
    </row>
    <row r="20" spans="1:51" x14ac:dyDescent="0.25">
      <c r="A20" s="1" t="s">
        <v>20</v>
      </c>
      <c r="B20" s="12">
        <f t="shared" ref="B20:G20" si="36">B17+B18+B19</f>
        <v>138.70000000000002</v>
      </c>
      <c r="C20" s="12">
        <f t="shared" si="36"/>
        <v>183.90000000000006</v>
      </c>
      <c r="D20" s="12">
        <f t="shared" si="36"/>
        <v>264.69999999999993</v>
      </c>
      <c r="E20" s="12">
        <f t="shared" si="36"/>
        <v>368.20000000000044</v>
      </c>
      <c r="F20" s="12">
        <f t="shared" si="36"/>
        <v>291.10000000000014</v>
      </c>
      <c r="G20" s="12">
        <f t="shared" si="36"/>
        <v>299.2000000000001</v>
      </c>
      <c r="H20" s="12">
        <f t="shared" ref="H20:I20" si="37">H17+H18+H19</f>
        <v>393.32133381627199</v>
      </c>
      <c r="I20" s="12">
        <f t="shared" si="37"/>
        <v>332.28358536695788</v>
      </c>
      <c r="J20" s="12">
        <f>J17+J18+J19</f>
        <v>321.11422318558419</v>
      </c>
      <c r="L20" s="4">
        <f t="shared" si="13"/>
        <v>0.2163037080635668</v>
      </c>
      <c r="N20" s="14">
        <f t="shared" ref="N20:O20" si="38">SUM(N17:N19)</f>
        <v>541.70000000000005</v>
      </c>
      <c r="O20" s="14">
        <f t="shared" si="38"/>
        <v>628.39999999999964</v>
      </c>
      <c r="P20" s="14">
        <f>SUM(P17:P19)</f>
        <v>955.49999999999989</v>
      </c>
      <c r="Q20" s="14">
        <f t="shared" ref="Q20:X20" si="39">SUM(Q17:Q19)</f>
        <v>1144.3804228731838</v>
      </c>
      <c r="R20" s="14">
        <f t="shared" si="39"/>
        <v>1353.6688989903566</v>
      </c>
      <c r="S20" s="14">
        <f t="shared" si="39"/>
        <v>1600.6743008086196</v>
      </c>
      <c r="T20" s="14">
        <f t="shared" si="39"/>
        <v>1875.9741919460851</v>
      </c>
      <c r="U20" s="14">
        <f t="shared" si="39"/>
        <v>2160.1815931380002</v>
      </c>
      <c r="V20" s="14">
        <f t="shared" si="39"/>
        <v>2487.0594426806992</v>
      </c>
      <c r="W20" s="14">
        <f t="shared" si="39"/>
        <v>2737.5768788007795</v>
      </c>
      <c r="X20" s="14">
        <f t="shared" si="39"/>
        <v>3013.1704032884268</v>
      </c>
    </row>
    <row r="21" spans="1:51" x14ac:dyDescent="0.25">
      <c r="A21" s="1" t="s">
        <v>21</v>
      </c>
      <c r="B21" s="12">
        <v>8.1</v>
      </c>
      <c r="C21" s="12">
        <v>-2.4</v>
      </c>
      <c r="D21" s="12">
        <v>-27.3</v>
      </c>
      <c r="E21" s="12">
        <f t="shared" ref="E21:E22" si="40">P21-SUM(B21:D21)</f>
        <v>-9.1999999999999993</v>
      </c>
      <c r="F21" s="12">
        <v>-21.3</v>
      </c>
      <c r="G21" s="12">
        <v>-27.6</v>
      </c>
      <c r="H21" s="12">
        <v>-26</v>
      </c>
      <c r="I21" s="12">
        <f>I5*L21</f>
        <v>-9.8666817585004747</v>
      </c>
      <c r="J21" s="12">
        <f>$J$5*L21</f>
        <v>-9.506869651831396</v>
      </c>
      <c r="L21" s="4">
        <f t="shared" si="13"/>
        <v>-6.9724272196314578E-3</v>
      </c>
      <c r="N21" s="14">
        <v>-53.2</v>
      </c>
      <c r="O21" s="14">
        <v>-14.1</v>
      </c>
      <c r="P21" s="14">
        <v>-30.8</v>
      </c>
      <c r="Q21" s="14">
        <f>Q5*$L$21</f>
        <v>-36.987331914700952</v>
      </c>
      <c r="R21" s="14">
        <f t="shared" ref="R21:X21" si="41">R5*$L$21</f>
        <v>-43.645051659347125</v>
      </c>
      <c r="S21" s="14">
        <f t="shared" si="41"/>
        <v>-51.501160958029601</v>
      </c>
      <c r="T21" s="14">
        <f t="shared" si="41"/>
        <v>-60.256358320894634</v>
      </c>
      <c r="U21" s="14">
        <f t="shared" si="41"/>
        <v>-69.294812069028822</v>
      </c>
      <c r="V21" s="14">
        <f t="shared" si="41"/>
        <v>-79.689033879383132</v>
      </c>
      <c r="W21" s="14">
        <f t="shared" si="41"/>
        <v>-87.657937267321458</v>
      </c>
      <c r="X21" s="14">
        <f t="shared" si="41"/>
        <v>-96.423730994053599</v>
      </c>
    </row>
    <row r="22" spans="1:51" x14ac:dyDescent="0.25">
      <c r="A22" s="1" t="s">
        <v>24</v>
      </c>
      <c r="B22" s="12">
        <v>-8.5</v>
      </c>
      <c r="C22" s="12">
        <v>-8.1</v>
      </c>
      <c r="D22" s="12">
        <v>-6.3</v>
      </c>
      <c r="E22" s="12">
        <f t="shared" si="40"/>
        <v>-45.199999999999989</v>
      </c>
      <c r="F22" s="12">
        <v>-22.1</v>
      </c>
      <c r="G22" s="12">
        <v>-5.3</v>
      </c>
      <c r="H22" s="12">
        <v>-5</v>
      </c>
      <c r="I22" s="12">
        <v>-5</v>
      </c>
      <c r="J22" s="12">
        <v>-5</v>
      </c>
      <c r="L22" s="4">
        <f t="shared" si="13"/>
        <v>-1.5416308235613709E-2</v>
      </c>
      <c r="N22" s="14">
        <v>0</v>
      </c>
      <c r="O22" s="14">
        <v>-7.6</v>
      </c>
      <c r="P22" s="14">
        <v>-68.099999999999994</v>
      </c>
      <c r="Q22" s="14">
        <v>0</v>
      </c>
      <c r="R22" s="14">
        <v>0</v>
      </c>
      <c r="S22" s="14">
        <v>0</v>
      </c>
      <c r="T22" s="14">
        <v>0</v>
      </c>
      <c r="U22" s="14">
        <v>0</v>
      </c>
      <c r="V22" s="14">
        <v>0</v>
      </c>
      <c r="W22" s="14">
        <v>0</v>
      </c>
      <c r="X22" s="14">
        <v>0</v>
      </c>
    </row>
    <row r="23" spans="1:51" x14ac:dyDescent="0.25">
      <c r="A23" s="5" t="s">
        <v>22</v>
      </c>
      <c r="B23" s="17">
        <f t="shared" ref="B23:G23" si="42">B20+B21+B22</f>
        <v>138.30000000000001</v>
      </c>
      <c r="C23" s="17">
        <f t="shared" si="42"/>
        <v>173.40000000000006</v>
      </c>
      <c r="D23" s="17">
        <f t="shared" si="42"/>
        <v>231.09999999999991</v>
      </c>
      <c r="E23" s="17">
        <f t="shared" si="42"/>
        <v>313.80000000000047</v>
      </c>
      <c r="F23" s="17">
        <f t="shared" si="42"/>
        <v>247.70000000000013</v>
      </c>
      <c r="G23" s="17">
        <f t="shared" si="42"/>
        <v>266.30000000000007</v>
      </c>
      <c r="H23" s="17">
        <f t="shared" ref="H23:I23" si="43">H20+H21+H22</f>
        <v>362.32133381627199</v>
      </c>
      <c r="I23" s="17">
        <f t="shared" si="43"/>
        <v>317.4169036084574</v>
      </c>
      <c r="J23" s="17">
        <f t="shared" ref="J23" si="44">J20+J21+J22</f>
        <v>306.60735353375281</v>
      </c>
      <c r="K23" s="5"/>
      <c r="L23" s="18">
        <f t="shared" si="13"/>
        <v>0.19391497260832163</v>
      </c>
      <c r="M23" s="5"/>
      <c r="N23" s="16">
        <f t="shared" ref="N23:O23" si="45">N20+N21+N22</f>
        <v>488.50000000000006</v>
      </c>
      <c r="O23" s="16">
        <f t="shared" si="45"/>
        <v>606.69999999999959</v>
      </c>
      <c r="P23" s="16">
        <f>P20+P21+P22</f>
        <v>856.59999999999991</v>
      </c>
      <c r="Q23" s="16">
        <f>Q20+Q21+Q22</f>
        <v>1107.3930909584828</v>
      </c>
      <c r="R23" s="16">
        <f t="shared" ref="R23:W23" si="46">R20+R21+R22</f>
        <v>1310.0238473310096</v>
      </c>
      <c r="S23" s="16">
        <f t="shared" si="46"/>
        <v>1549.1731398505899</v>
      </c>
      <c r="T23" s="16">
        <f t="shared" si="46"/>
        <v>1815.7178336251905</v>
      </c>
      <c r="U23" s="16">
        <f t="shared" si="46"/>
        <v>2090.8867810689712</v>
      </c>
      <c r="V23" s="16">
        <f t="shared" si="46"/>
        <v>2407.370408801316</v>
      </c>
      <c r="W23" s="16">
        <f t="shared" si="46"/>
        <v>2649.9189415334581</v>
      </c>
      <c r="X23" s="16">
        <f>X20+X21+X22</f>
        <v>2916.7466722943732</v>
      </c>
    </row>
    <row r="24" spans="1:51" x14ac:dyDescent="0.25">
      <c r="A24" s="1" t="s">
        <v>59</v>
      </c>
      <c r="B24" s="12">
        <v>803.4</v>
      </c>
      <c r="C24" s="12">
        <v>795.4</v>
      </c>
      <c r="D24" s="12">
        <v>786.2</v>
      </c>
      <c r="E24" s="12">
        <v>784</v>
      </c>
      <c r="F24" s="12">
        <v>783.2</v>
      </c>
      <c r="G24" s="12">
        <v>785</v>
      </c>
      <c r="H24" s="12">
        <v>784</v>
      </c>
      <c r="I24" s="12">
        <v>773</v>
      </c>
      <c r="J24" s="12">
        <v>773</v>
      </c>
      <c r="N24" s="14">
        <v>821</v>
      </c>
      <c r="O24" s="14">
        <v>816.1</v>
      </c>
      <c r="P24" s="14">
        <v>791.4</v>
      </c>
      <c r="Q24" s="14">
        <v>773</v>
      </c>
      <c r="R24" s="14">
        <f>Q24*0.97</f>
        <v>749.81</v>
      </c>
      <c r="S24" s="14">
        <f t="shared" ref="S24:X24" si="47">R24*0.97</f>
        <v>727.31569999999988</v>
      </c>
      <c r="T24" s="14">
        <f t="shared" si="47"/>
        <v>705.49622899999986</v>
      </c>
      <c r="U24" s="14">
        <f t="shared" si="47"/>
        <v>684.33134212999983</v>
      </c>
      <c r="V24" s="14">
        <f t="shared" si="47"/>
        <v>663.80140186609981</v>
      </c>
      <c r="W24" s="14">
        <f t="shared" si="47"/>
        <v>643.88735981011678</v>
      </c>
      <c r="X24" s="14">
        <f t="shared" si="47"/>
        <v>624.57073901581327</v>
      </c>
    </row>
    <row r="25" spans="1:51" x14ac:dyDescent="0.25">
      <c r="A25" s="5" t="s">
        <v>60</v>
      </c>
      <c r="B25" s="19">
        <f t="shared" ref="B25:F25" si="48">B23/B24</f>
        <v>0.17214339058999256</v>
      </c>
      <c r="C25" s="19">
        <f t="shared" si="48"/>
        <v>0.21800352024138805</v>
      </c>
      <c r="D25" s="19">
        <f t="shared" si="48"/>
        <v>0.2939455609259729</v>
      </c>
      <c r="E25" s="19">
        <f t="shared" si="48"/>
        <v>0.40025510204081693</v>
      </c>
      <c r="F25" s="19">
        <f t="shared" si="48"/>
        <v>0.31626659856996953</v>
      </c>
      <c r="G25" s="19">
        <f>G23/G24</f>
        <v>0.33923566878980899</v>
      </c>
      <c r="H25" s="19">
        <f t="shared" ref="H25:I25" si="49">H23/H24</f>
        <v>0.46214455843912244</v>
      </c>
      <c r="I25" s="19">
        <f t="shared" si="49"/>
        <v>0.41062988823862534</v>
      </c>
      <c r="J25" s="19">
        <f t="shared" ref="J25" si="50">J23/J24</f>
        <v>0.39664599422218993</v>
      </c>
      <c r="K25" s="5"/>
      <c r="L25" s="5"/>
      <c r="M25" s="5"/>
      <c r="N25" s="20">
        <f t="shared" ref="N25:O25" si="51">N23/N24</f>
        <v>0.59500609013398298</v>
      </c>
      <c r="O25" s="20">
        <f t="shared" si="51"/>
        <v>0.74341379732875823</v>
      </c>
      <c r="P25" s="20">
        <f>P23/P24</f>
        <v>1.08238564569118</v>
      </c>
      <c r="Q25" s="20">
        <f t="shared" ref="Q25:X25" si="52">Q23/Q24</f>
        <v>1.432591320774234</v>
      </c>
      <c r="R25" s="20">
        <f t="shared" si="52"/>
        <v>1.7471410721796319</v>
      </c>
      <c r="S25" s="20">
        <f t="shared" si="52"/>
        <v>2.1299872116751914</v>
      </c>
      <c r="T25" s="20">
        <f t="shared" si="52"/>
        <v>2.5736747540080627</v>
      </c>
      <c r="U25" s="20">
        <f t="shared" si="52"/>
        <v>3.055371940967996</v>
      </c>
      <c r="V25" s="20">
        <f t="shared" si="52"/>
        <v>3.6266425500663888</v>
      </c>
      <c r="W25" s="20">
        <f t="shared" si="52"/>
        <v>4.1155007955349872</v>
      </c>
      <c r="X25" s="20">
        <f t="shared" si="52"/>
        <v>4.6700021151975948</v>
      </c>
    </row>
    <row r="26" spans="1:51" x14ac:dyDescent="0.25">
      <c r="B26" s="12"/>
      <c r="C26" s="12"/>
      <c r="D26" s="12"/>
      <c r="E26" s="12"/>
      <c r="F26" s="12"/>
      <c r="G26" s="12"/>
      <c r="H26" s="12"/>
      <c r="I26" s="12"/>
      <c r="N26" s="14"/>
      <c r="O26" s="14"/>
      <c r="P26" s="14"/>
      <c r="Q26" s="14"/>
      <c r="R26" s="14"/>
      <c r="S26" s="14"/>
      <c r="T26" s="14"/>
      <c r="U26" s="14"/>
      <c r="V26" s="14"/>
      <c r="W26" s="14"/>
      <c r="X26" s="14"/>
    </row>
    <row r="27" spans="1:51" x14ac:dyDescent="0.25">
      <c r="A27" s="1" t="s">
        <v>62</v>
      </c>
      <c r="B27" s="12">
        <v>396.1</v>
      </c>
      <c r="C27" s="12">
        <v>719.5</v>
      </c>
      <c r="D27" s="12"/>
      <c r="E27" s="12"/>
      <c r="F27" s="12">
        <v>677.5</v>
      </c>
      <c r="G27" s="12">
        <v>1192.5999999999999</v>
      </c>
      <c r="H27" s="12">
        <v>551.20000000000005</v>
      </c>
      <c r="I27" s="12">
        <v>191.7</v>
      </c>
      <c r="N27" s="14">
        <v>1083.7</v>
      </c>
      <c r="O27" s="14">
        <v>1499.7</v>
      </c>
      <c r="P27" s="14">
        <v>1730.6</v>
      </c>
      <c r="Q27" s="14">
        <v>1940</v>
      </c>
      <c r="R27" s="14"/>
      <c r="S27" s="14"/>
      <c r="T27" s="14"/>
      <c r="U27" s="14"/>
      <c r="V27" s="14"/>
      <c r="W27" s="14"/>
      <c r="X27" s="14"/>
    </row>
    <row r="28" spans="1:51" x14ac:dyDescent="0.25">
      <c r="A28" s="1" t="s">
        <v>63</v>
      </c>
      <c r="B28" s="12">
        <f>122.6</f>
        <v>122.6</v>
      </c>
      <c r="C28" s="12">
        <f>162.5</f>
        <v>162.5</v>
      </c>
      <c r="D28" s="12"/>
      <c r="E28" s="12"/>
      <c r="F28" s="12">
        <v>30.3</v>
      </c>
      <c r="G28" s="12">
        <f>107.1</f>
        <v>107.1</v>
      </c>
      <c r="H28" s="12">
        <v>70.099999999999994</v>
      </c>
      <c r="I28" s="12">
        <v>27.8</v>
      </c>
      <c r="L28" s="4">
        <f>P28/P5</f>
        <v>6.3657355005206681E-2</v>
      </c>
      <c r="N28" s="14">
        <v>125.9</v>
      </c>
      <c r="O28" s="14">
        <v>295.89999999999998</v>
      </c>
      <c r="P28" s="14">
        <v>281.2</v>
      </c>
      <c r="Q28" s="14">
        <v>210</v>
      </c>
      <c r="R28" s="14"/>
      <c r="S28" s="14"/>
      <c r="T28" s="14"/>
      <c r="U28" s="14"/>
      <c r="V28" s="14"/>
      <c r="W28" s="14"/>
      <c r="X28" s="14"/>
    </row>
    <row r="29" spans="1:51" x14ac:dyDescent="0.25">
      <c r="A29" s="5" t="s">
        <v>64</v>
      </c>
      <c r="B29" s="17">
        <f>B27-B28</f>
        <v>273.5</v>
      </c>
      <c r="C29" s="17">
        <f>C27-C28</f>
        <v>557</v>
      </c>
      <c r="D29" s="17">
        <f t="shared" ref="D29:G29" si="53">D27-D28</f>
        <v>0</v>
      </c>
      <c r="E29" s="17">
        <f t="shared" si="53"/>
        <v>0</v>
      </c>
      <c r="F29" s="17">
        <f t="shared" si="53"/>
        <v>647.20000000000005</v>
      </c>
      <c r="G29" s="17">
        <f t="shared" si="53"/>
        <v>1085.5</v>
      </c>
      <c r="H29" s="17">
        <f t="shared" ref="H29" si="54">H27-H28</f>
        <v>481.1</v>
      </c>
      <c r="I29" s="17">
        <f t="shared" ref="I29" si="55">I27-I28</f>
        <v>163.89999999999998</v>
      </c>
      <c r="J29" s="5"/>
      <c r="K29" s="5"/>
      <c r="L29" s="18">
        <f>P29/P5</f>
        <v>0.32811155883551407</v>
      </c>
      <c r="M29" s="5"/>
      <c r="N29" s="16">
        <f>N27-N28</f>
        <v>957.80000000000007</v>
      </c>
      <c r="O29" s="16">
        <f t="shared" ref="O29:P29" si="56">O27-O28</f>
        <v>1203.8000000000002</v>
      </c>
      <c r="P29" s="16">
        <f t="shared" si="56"/>
        <v>1449.3999999999999</v>
      </c>
      <c r="Q29" s="16">
        <f>Q27-Q28</f>
        <v>1730</v>
      </c>
      <c r="R29" s="16">
        <f t="shared" ref="R29:W29" si="57">R5*$L$29</f>
        <v>2053.8681128265489</v>
      </c>
      <c r="S29" s="16">
        <f t="shared" si="57"/>
        <v>2423.5643731353275</v>
      </c>
      <c r="T29" s="16">
        <f t="shared" si="57"/>
        <v>2835.5703165683335</v>
      </c>
      <c r="U29" s="16">
        <f t="shared" si="57"/>
        <v>3260.9058640535832</v>
      </c>
      <c r="V29" s="16">
        <f t="shared" si="57"/>
        <v>3750.0417436616199</v>
      </c>
      <c r="W29" s="16">
        <f t="shared" si="57"/>
        <v>4125.0459180277821</v>
      </c>
      <c r="X29" s="16">
        <f>X5*$L$29</f>
        <v>4537.5505098305612</v>
      </c>
      <c r="Y29" s="23">
        <f>X29*(1+8%)</f>
        <v>4900.5545506170065</v>
      </c>
      <c r="Z29" s="23">
        <f>Y29*(1+8%)</f>
        <v>5292.5989146663678</v>
      </c>
      <c r="AA29" s="23">
        <f>Z29*(1+5%)</f>
        <v>5557.2288603996867</v>
      </c>
      <c r="AB29" s="23">
        <f t="shared" ref="AB29:AC29" si="58">AA29*(1+5%)</f>
        <v>5835.0903034196717</v>
      </c>
      <c r="AC29" s="23">
        <f t="shared" si="58"/>
        <v>6126.8448185906554</v>
      </c>
      <c r="AD29" s="23">
        <f t="shared" ref="AD29:AY29" si="59">AC29*(1+$AA$2)</f>
        <v>6249.3817149624683</v>
      </c>
      <c r="AE29" s="23">
        <f t="shared" si="59"/>
        <v>6374.3693492617176</v>
      </c>
      <c r="AF29" s="23">
        <f t="shared" si="59"/>
        <v>6501.8567362469521</v>
      </c>
      <c r="AG29" s="23">
        <f t="shared" si="59"/>
        <v>6631.8938709718914</v>
      </c>
      <c r="AH29" s="23">
        <f t="shared" si="59"/>
        <v>6764.5317483913295</v>
      </c>
      <c r="AI29" s="23">
        <f t="shared" si="59"/>
        <v>6899.8223833591564</v>
      </c>
      <c r="AJ29" s="23">
        <f t="shared" si="59"/>
        <v>7037.8188310263395</v>
      </c>
      <c r="AK29" s="23">
        <f t="shared" si="59"/>
        <v>7178.5752076468661</v>
      </c>
      <c r="AL29" s="23">
        <f t="shared" si="59"/>
        <v>7322.1467117998036</v>
      </c>
      <c r="AM29" s="23">
        <f t="shared" si="59"/>
        <v>7468.5896460357999</v>
      </c>
      <c r="AN29" s="23">
        <f t="shared" si="59"/>
        <v>7617.9614389565158</v>
      </c>
      <c r="AO29" s="23">
        <f t="shared" si="59"/>
        <v>7770.3206677356466</v>
      </c>
      <c r="AP29" s="23">
        <f t="shared" si="59"/>
        <v>7925.7270810903592</v>
      </c>
      <c r="AQ29" s="23">
        <f t="shared" si="59"/>
        <v>8084.2416227121666</v>
      </c>
      <c r="AR29" s="23">
        <f t="shared" si="59"/>
        <v>8245.926455166411</v>
      </c>
      <c r="AS29" s="23">
        <f t="shared" si="59"/>
        <v>8410.8449842697391</v>
      </c>
      <c r="AT29" s="23">
        <f t="shared" si="59"/>
        <v>8579.0618839551335</v>
      </c>
      <c r="AU29" s="23">
        <f t="shared" si="59"/>
        <v>8750.6431216342371</v>
      </c>
      <c r="AV29" s="23">
        <f t="shared" si="59"/>
        <v>8925.6559840669215</v>
      </c>
      <c r="AW29" s="23">
        <f t="shared" si="59"/>
        <v>9104.1691037482597</v>
      </c>
      <c r="AX29" s="23">
        <f t="shared" si="59"/>
        <v>9286.2524858232246</v>
      </c>
      <c r="AY29" s="23">
        <f t="shared" si="59"/>
        <v>9471.9775355396887</v>
      </c>
    </row>
    <row r="31" spans="1:51" x14ac:dyDescent="0.25">
      <c r="A31" s="1" t="s">
        <v>35</v>
      </c>
      <c r="B31" s="9">
        <f t="shared" ref="B31:G31" si="60">B11/B5</f>
        <v>0.73418516966904068</v>
      </c>
      <c r="C31" s="9">
        <f t="shared" si="60"/>
        <v>0.75652849237938069</v>
      </c>
      <c r="D31" s="9">
        <f t="shared" si="60"/>
        <v>0.75380600260983033</v>
      </c>
      <c r="E31" s="9">
        <f t="shared" si="60"/>
        <v>0.76827747466874508</v>
      </c>
      <c r="F31" s="9">
        <f t="shared" si="60"/>
        <v>0.75615939158678602</v>
      </c>
      <c r="G31" s="9">
        <f t="shared" si="60"/>
        <v>0.77119430693069302</v>
      </c>
      <c r="H31" s="9">
        <f t="shared" ref="H31:I31" si="61">H11/H5</f>
        <v>0.77176682151955645</v>
      </c>
      <c r="I31" s="9">
        <f t="shared" si="61"/>
        <v>0.75440304251369594</v>
      </c>
      <c r="J31" s="9"/>
      <c r="K31" s="9"/>
      <c r="L31" s="9"/>
      <c r="M31" s="9"/>
      <c r="N31" s="9">
        <f t="shared" ref="N31:X31" si="62">N11/N5</f>
        <v>0.78029602220166516</v>
      </c>
      <c r="O31" s="9">
        <f t="shared" si="62"/>
        <v>0.76572317635090659</v>
      </c>
      <c r="P31" s="9">
        <f t="shared" si="62"/>
        <v>0.75440304251369594</v>
      </c>
      <c r="Q31" s="9">
        <f t="shared" si="62"/>
        <v>0.75440304251369594</v>
      </c>
      <c r="R31" s="9">
        <f t="shared" si="62"/>
        <v>0.75440304251369594</v>
      </c>
      <c r="S31" s="9">
        <f t="shared" si="62"/>
        <v>0.75440304251369583</v>
      </c>
      <c r="T31" s="9">
        <f t="shared" si="62"/>
        <v>0.75440304251369583</v>
      </c>
      <c r="U31" s="9">
        <f t="shared" si="62"/>
        <v>0.75440304251369605</v>
      </c>
      <c r="V31" s="9">
        <f t="shared" si="62"/>
        <v>0.75440304251369605</v>
      </c>
      <c r="W31" s="9">
        <f t="shared" si="62"/>
        <v>0.75440304251369594</v>
      </c>
      <c r="X31" s="9">
        <f t="shared" si="62"/>
        <v>0.75440304251369594</v>
      </c>
    </row>
    <row r="32" spans="1:51" x14ac:dyDescent="0.25">
      <c r="A32" s="1" t="s">
        <v>36</v>
      </c>
      <c r="B32" s="9">
        <f t="shared" ref="B32:G32" si="63">B17/B5</f>
        <v>0.15814830330959365</v>
      </c>
      <c r="C32" s="9">
        <f t="shared" si="63"/>
        <v>0.18959324337442976</v>
      </c>
      <c r="D32" s="9">
        <f t="shared" si="63"/>
        <v>0.23096998695084808</v>
      </c>
      <c r="E32" s="9">
        <f t="shared" si="63"/>
        <v>0.27887763055339077</v>
      </c>
      <c r="F32" s="9">
        <f t="shared" si="63"/>
        <v>0.21666798700784293</v>
      </c>
      <c r="G32" s="9">
        <f t="shared" si="63"/>
        <v>0.2158106435643565</v>
      </c>
      <c r="H32" s="9">
        <f t="shared" ref="H32:I32" si="64">H17/H5</f>
        <v>0.27828562865277984</v>
      </c>
      <c r="I32" s="9">
        <f t="shared" si="64"/>
        <v>0.21949563091411237</v>
      </c>
      <c r="J32" s="9"/>
      <c r="K32" s="9"/>
      <c r="L32" s="9"/>
      <c r="M32" s="9"/>
      <c r="N32" s="9">
        <f t="shared" ref="N32:X32" si="65">N17/N5</f>
        <v>0.20497995683009557</v>
      </c>
      <c r="O32" s="9">
        <f t="shared" si="65"/>
        <v>0.19460235772844225</v>
      </c>
      <c r="P32" s="9">
        <f t="shared" si="65"/>
        <v>0.21949563091411237</v>
      </c>
      <c r="Q32" s="9">
        <f t="shared" si="65"/>
        <v>0.21949563091411248</v>
      </c>
      <c r="R32" s="9">
        <f t="shared" si="65"/>
        <v>0.21949563091411245</v>
      </c>
      <c r="S32" s="9">
        <f t="shared" si="65"/>
        <v>0.21949563091411231</v>
      </c>
      <c r="T32" s="9">
        <f t="shared" si="65"/>
        <v>0.21949563091411231</v>
      </c>
      <c r="U32" s="9">
        <f t="shared" si="65"/>
        <v>0.21949563091411259</v>
      </c>
      <c r="V32" s="9">
        <f t="shared" si="65"/>
        <v>0.21949563091411253</v>
      </c>
      <c r="W32" s="9">
        <f t="shared" si="65"/>
        <v>0.21949563091411253</v>
      </c>
      <c r="X32" s="9">
        <f t="shared" si="65"/>
        <v>0.21949563091411245</v>
      </c>
    </row>
    <row r="33" spans="1:24" x14ac:dyDescent="0.25">
      <c r="A33" s="1" t="s">
        <v>37</v>
      </c>
      <c r="B33" s="9">
        <f t="shared" ref="B33:G33" si="66">B23/B5</f>
        <v>0.1448470883954755</v>
      </c>
      <c r="C33" s="9">
        <f t="shared" si="66"/>
        <v>0.16833317153674407</v>
      </c>
      <c r="D33" s="9">
        <f t="shared" si="66"/>
        <v>0.20104393214441055</v>
      </c>
      <c r="E33" s="9">
        <f t="shared" si="66"/>
        <v>0.24458300857365581</v>
      </c>
      <c r="F33" s="9">
        <f t="shared" si="66"/>
        <v>0.19622910560088738</v>
      </c>
      <c r="G33" s="9">
        <f t="shared" si="66"/>
        <v>0.20598700495049507</v>
      </c>
      <c r="H33" s="9">
        <f t="shared" ref="H33:I33" si="67">H23/H5</f>
        <v>0.27148309142534993</v>
      </c>
      <c r="I33" s="9">
        <f t="shared" si="67"/>
        <v>0.2243070479884513</v>
      </c>
      <c r="J33" s="9"/>
      <c r="K33" s="9"/>
      <c r="L33" s="9"/>
      <c r="M33" s="9"/>
      <c r="N33" s="9">
        <f t="shared" ref="N33:X33" si="68">N23/N5</f>
        <v>0.18829016342892385</v>
      </c>
      <c r="O33" s="9">
        <f t="shared" si="68"/>
        <v>0.1815271378134162</v>
      </c>
      <c r="P33" s="9">
        <f t="shared" si="68"/>
        <v>0.19391497260832163</v>
      </c>
      <c r="Q33" s="9">
        <f t="shared" si="68"/>
        <v>0.20875303328277842</v>
      </c>
      <c r="R33" s="9">
        <f t="shared" si="68"/>
        <v>0.2092802181284826</v>
      </c>
      <c r="S33" s="9">
        <f t="shared" si="68"/>
        <v>0.20973307722167206</v>
      </c>
      <c r="T33" s="9">
        <f t="shared" si="68"/>
        <v>0.21010165232551969</v>
      </c>
      <c r="U33" s="9">
        <f t="shared" si="68"/>
        <v>0.21038452187402282</v>
      </c>
      <c r="V33" s="9">
        <f t="shared" si="68"/>
        <v>0.21063393730519572</v>
      </c>
      <c r="W33" s="9">
        <f t="shared" si="68"/>
        <v>0.21077802574134705</v>
      </c>
      <c r="X33" s="9">
        <f t="shared" si="68"/>
        <v>0.21091077560490709</v>
      </c>
    </row>
    <row r="35" spans="1:24" x14ac:dyDescent="0.25">
      <c r="A35" s="1" t="s">
        <v>38</v>
      </c>
      <c r="B35" s="8"/>
      <c r="C35" s="8"/>
      <c r="D35" s="8"/>
      <c r="E35" s="8"/>
      <c r="F35" s="8">
        <f t="shared" ref="F35" si="69">F33/B33-1</f>
        <v>0.35473282738776035</v>
      </c>
      <c r="G35" s="8">
        <f>G33/C33-1</f>
        <v>0.22368635409172377</v>
      </c>
      <c r="H35" s="8">
        <f t="shared" ref="H35:I35" si="70">H33/D33-1</f>
        <v>0.35036699953890027</v>
      </c>
      <c r="I35" s="8">
        <f t="shared" si="70"/>
        <v>-8.2900119282400708E-2</v>
      </c>
      <c r="N35" s="13"/>
      <c r="O35" s="13">
        <f>O5/N5-1</f>
        <v>0.28823620104841186</v>
      </c>
      <c r="P35" s="13">
        <f t="shared" ref="P35:X35" si="71">P5/O5-1</f>
        <v>0.32170426665070906</v>
      </c>
      <c r="Q35" s="13">
        <f t="shared" si="71"/>
        <v>0.20088739982795301</v>
      </c>
      <c r="R35" s="13">
        <f t="shared" si="71"/>
        <v>0.17999999999999994</v>
      </c>
      <c r="S35" s="13">
        <f t="shared" si="71"/>
        <v>0.17999999999999994</v>
      </c>
      <c r="T35" s="13">
        <f>T5/S5-1</f>
        <v>0.17000000000000015</v>
      </c>
      <c r="U35" s="13">
        <f>U5/T5-1</f>
        <v>0.14999999999999991</v>
      </c>
      <c r="V35" s="13">
        <f t="shared" si="71"/>
        <v>0.14999999999999969</v>
      </c>
      <c r="W35" s="13">
        <f t="shared" si="71"/>
        <v>0.10000000000000009</v>
      </c>
      <c r="X35" s="13">
        <f t="shared" si="71"/>
        <v>0.10000000000000009</v>
      </c>
    </row>
    <row r="36" spans="1:24" x14ac:dyDescent="0.25">
      <c r="A36" s="1" t="s">
        <v>66</v>
      </c>
      <c r="O36" s="4">
        <f>O29/N29-1</f>
        <v>0.25683858843182295</v>
      </c>
      <c r="P36" s="4">
        <f t="shared" ref="P36:S36" si="72">P29/O29-1</f>
        <v>0.2040206014288084</v>
      </c>
      <c r="Q36" s="4">
        <f t="shared" si="72"/>
        <v>0.19359735062784611</v>
      </c>
      <c r="R36" s="4">
        <f t="shared" si="72"/>
        <v>0.18720700163384318</v>
      </c>
      <c r="S36" s="4">
        <f t="shared" si="72"/>
        <v>0.17999999999999994</v>
      </c>
      <c r="T36" s="4"/>
      <c r="U36" s="4"/>
      <c r="V36" s="4"/>
      <c r="W36" s="4"/>
      <c r="X36" s="4"/>
    </row>
    <row r="38" spans="1:24" x14ac:dyDescent="0.25">
      <c r="A38" s="1" t="s">
        <v>39</v>
      </c>
    </row>
    <row r="39" spans="1:24" x14ac:dyDescent="0.25">
      <c r="A39" s="1" t="s">
        <v>40</v>
      </c>
      <c r="E39" s="6">
        <f>1682.9+502.6+25.5+45.5</f>
        <v>2256.5</v>
      </c>
      <c r="G39" s="10">
        <f>2376.3+915.1+22.1+4.2</f>
        <v>3317.7</v>
      </c>
      <c r="N39" s="15"/>
    </row>
    <row r="40" spans="1:24" x14ac:dyDescent="0.25">
      <c r="A40" s="1" t="s">
        <v>41</v>
      </c>
      <c r="B40" s="7"/>
      <c r="C40" s="7"/>
      <c r="D40" s="7"/>
      <c r="E40" s="10">
        <v>1261.7</v>
      </c>
      <c r="F40" s="7"/>
      <c r="G40" s="1">
        <v>1078.8</v>
      </c>
      <c r="O40" s="15"/>
    </row>
    <row r="41" spans="1:24" x14ac:dyDescent="0.25">
      <c r="A41" s="1" t="s">
        <v>42</v>
      </c>
      <c r="E41" s="6">
        <v>264.60000000000002</v>
      </c>
      <c r="G41" s="1">
        <v>376.3</v>
      </c>
    </row>
    <row r="42" spans="1:24" x14ac:dyDescent="0.25">
      <c r="A42" s="1" t="s">
        <v>43</v>
      </c>
      <c r="E42" s="6">
        <v>73.099999999999994</v>
      </c>
      <c r="G42" s="1">
        <v>109.5</v>
      </c>
    </row>
    <row r="43" spans="1:24" x14ac:dyDescent="0.25">
      <c r="A43" s="1" t="s">
        <v>26</v>
      </c>
      <c r="E43" s="6">
        <v>898.5</v>
      </c>
      <c r="G43" s="1">
        <v>981.9</v>
      </c>
    </row>
    <row r="44" spans="1:24" x14ac:dyDescent="0.25">
      <c r="A44" s="1" t="s">
        <v>44</v>
      </c>
      <c r="E44" s="6">
        <v>518.20000000000005</v>
      </c>
      <c r="G44" s="1">
        <v>558.79999999999995</v>
      </c>
    </row>
    <row r="45" spans="1:24" x14ac:dyDescent="0.25">
      <c r="A45" s="1" t="s">
        <v>45</v>
      </c>
      <c r="E45" s="6">
        <v>569.4</v>
      </c>
      <c r="G45" s="1">
        <v>729.2</v>
      </c>
    </row>
    <row r="46" spans="1:24" x14ac:dyDescent="0.25">
      <c r="A46" s="1" t="s">
        <v>46</v>
      </c>
      <c r="E46" s="6">
        <f>128+56</f>
        <v>184</v>
      </c>
      <c r="G46" s="1">
        <f>126+44.6</f>
        <v>170.6</v>
      </c>
    </row>
    <row r="47" spans="1:24" x14ac:dyDescent="0.25">
      <c r="A47" s="1" t="s">
        <v>47</v>
      </c>
      <c r="E47" s="1">
        <v>202</v>
      </c>
      <c r="G47" s="1">
        <v>163.30000000000001</v>
      </c>
    </row>
    <row r="48" spans="1:24" x14ac:dyDescent="0.25">
      <c r="A48" s="1" t="s">
        <v>48</v>
      </c>
      <c r="B48" s="6">
        <f t="shared" ref="B48:F48" si="73">SUM(B39:B47)</f>
        <v>0</v>
      </c>
      <c r="C48" s="6">
        <f t="shared" si="73"/>
        <v>0</v>
      </c>
      <c r="D48" s="6">
        <f t="shared" si="73"/>
        <v>0</v>
      </c>
      <c r="E48" s="6">
        <f t="shared" si="73"/>
        <v>6227.9999999999991</v>
      </c>
      <c r="F48" s="6">
        <f t="shared" si="73"/>
        <v>0</v>
      </c>
      <c r="G48" s="6">
        <f>SUM(G39:G47)</f>
        <v>7486.1</v>
      </c>
    </row>
    <row r="50" spans="1:7" x14ac:dyDescent="0.25">
      <c r="A50" s="1" t="s">
        <v>49</v>
      </c>
      <c r="E50" s="1">
        <v>243.4</v>
      </c>
      <c r="G50" s="1">
        <v>238.3</v>
      </c>
    </row>
    <row r="51" spans="1:7" x14ac:dyDescent="0.25">
      <c r="A51" s="1" t="s">
        <v>50</v>
      </c>
      <c r="E51" s="1">
        <v>266.3</v>
      </c>
      <c r="G51" s="1">
        <v>266.8</v>
      </c>
    </row>
    <row r="52" spans="1:7" x14ac:dyDescent="0.25">
      <c r="A52" s="1" t="s">
        <v>51</v>
      </c>
      <c r="E52" s="1">
        <v>219.4</v>
      </c>
      <c r="G52" s="1">
        <v>224.8</v>
      </c>
    </row>
    <row r="53" spans="1:7" x14ac:dyDescent="0.25">
      <c r="A53" s="1" t="s">
        <v>53</v>
      </c>
      <c r="E53" s="1">
        <v>67.8</v>
      </c>
      <c r="G53" s="1">
        <f>183+59.1</f>
        <v>242.1</v>
      </c>
    </row>
    <row r="54" spans="1:7" x14ac:dyDescent="0.25">
      <c r="A54" s="1" t="s">
        <v>52</v>
      </c>
      <c r="E54" s="1">
        <f>2349.3+2291</f>
        <v>4640.3</v>
      </c>
      <c r="G54" s="1">
        <f>2587.7+2540.9</f>
        <v>5128.6000000000004</v>
      </c>
    </row>
    <row r="55" spans="1:7" x14ac:dyDescent="0.25">
      <c r="A55" s="1" t="s">
        <v>54</v>
      </c>
      <c r="E55" s="1">
        <v>990.4</v>
      </c>
      <c r="G55" s="1">
        <v>991.3</v>
      </c>
    </row>
    <row r="56" spans="1:7" x14ac:dyDescent="0.25">
      <c r="A56" s="1" t="s">
        <v>55</v>
      </c>
      <c r="E56" s="1">
        <v>82</v>
      </c>
      <c r="G56" s="1">
        <v>73</v>
      </c>
    </row>
    <row r="57" spans="1:7" x14ac:dyDescent="0.25">
      <c r="A57" s="1" t="s">
        <v>56</v>
      </c>
      <c r="B57" s="1">
        <f t="shared" ref="B57:F57" si="74">SUM(B50:B56)</f>
        <v>0</v>
      </c>
      <c r="C57" s="1">
        <f t="shared" si="74"/>
        <v>0</v>
      </c>
      <c r="D57" s="1">
        <f t="shared" si="74"/>
        <v>0</v>
      </c>
      <c r="E57" s="1">
        <f t="shared" si="74"/>
        <v>6509.5999999999995</v>
      </c>
      <c r="F57" s="1">
        <f t="shared" si="74"/>
        <v>0</v>
      </c>
      <c r="G57" s="1">
        <f>SUM(G50:G56)</f>
        <v>7164.9000000000005</v>
      </c>
    </row>
    <row r="58" spans="1:7" x14ac:dyDescent="0.25">
      <c r="A58" s="1" t="s">
        <v>57</v>
      </c>
      <c r="B58" s="6">
        <f t="shared" ref="B58:F58" si="75">B48-B57</f>
        <v>0</v>
      </c>
      <c r="C58" s="6">
        <f t="shared" si="75"/>
        <v>0</v>
      </c>
      <c r="D58" s="6">
        <f t="shared" si="75"/>
        <v>0</v>
      </c>
      <c r="E58" s="6">
        <f t="shared" si="75"/>
        <v>-281.60000000000036</v>
      </c>
      <c r="F58" s="6">
        <f t="shared" si="75"/>
        <v>0</v>
      </c>
      <c r="G58" s="6">
        <f>G48-G57</f>
        <v>321.19999999999982</v>
      </c>
    </row>
    <row r="59" spans="1:7" x14ac:dyDescent="0.25">
      <c r="A59" s="1" t="s">
        <v>58</v>
      </c>
      <c r="B59" s="6">
        <f t="shared" ref="B59:F59" si="76">B58+B57</f>
        <v>0</v>
      </c>
      <c r="C59" s="6">
        <f t="shared" si="76"/>
        <v>0</v>
      </c>
      <c r="D59" s="6">
        <f t="shared" si="76"/>
        <v>0</v>
      </c>
      <c r="E59" s="6">
        <f t="shared" si="76"/>
        <v>6227.9999999999991</v>
      </c>
      <c r="F59" s="6">
        <f t="shared" si="76"/>
        <v>0</v>
      </c>
      <c r="G59" s="6">
        <f>G58+G57</f>
        <v>7486.1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alexandreduartemorais@gmail.com</cp:lastModifiedBy>
  <dcterms:created xsi:type="dcterms:W3CDTF">2023-10-20T13:55:53Z</dcterms:created>
  <dcterms:modified xsi:type="dcterms:W3CDTF">2024-07-22T23:03:05Z</dcterms:modified>
</cp:coreProperties>
</file>