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323" documentId="8_{6AEEDBA7-76D6-4C76-88D2-581B57FF8DA1}" xr6:coauthVersionLast="47" xr6:coauthVersionMax="47" xr10:uidLastSave="{EEAD3703-26E6-4C96-858B-2C8BEEA98E8B}"/>
  <bookViews>
    <workbookView xWindow="14295" yWindow="0" windowWidth="14610" windowHeight="15585" activeTab="1" xr2:uid="{E415F11A-6BA1-4AC7-9BA9-079887DC37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U3" i="2" s="1"/>
  <c r="V3" i="2" s="1"/>
  <c r="W3" i="2" s="1"/>
  <c r="X3" i="2" s="1"/>
  <c r="S3" i="2"/>
  <c r="T2" i="2"/>
  <c r="U2" i="2" s="1"/>
  <c r="V2" i="2" s="1"/>
  <c r="W2" i="2" s="1"/>
  <c r="X2" i="2" s="1"/>
  <c r="Y2" i="2" s="1"/>
  <c r="S2" i="2"/>
  <c r="AB6" i="2"/>
  <c r="T17" i="2"/>
  <c r="U17" i="2" s="1"/>
  <c r="V17" i="2" s="1"/>
  <c r="W17" i="2" s="1"/>
  <c r="X17" i="2" s="1"/>
  <c r="Y17" i="2" s="1"/>
  <c r="S17" i="2"/>
  <c r="S7" i="2"/>
  <c r="S6" i="2"/>
  <c r="S8" i="2" s="1"/>
  <c r="S31" i="2" s="1"/>
  <c r="S28" i="2"/>
  <c r="S27" i="2"/>
  <c r="R27" i="2"/>
  <c r="X1" i="2"/>
  <c r="Y1" i="2" s="1"/>
  <c r="T6" i="2"/>
  <c r="R68" i="2"/>
  <c r="N69" i="2"/>
  <c r="Q68" i="2"/>
  <c r="P68" i="2"/>
  <c r="Q64" i="2"/>
  <c r="P64" i="2"/>
  <c r="R64" i="2"/>
  <c r="R28" i="2"/>
  <c r="Q28" i="2"/>
  <c r="Q27" i="2"/>
  <c r="S64" i="2"/>
  <c r="S59" i="2"/>
  <c r="R59" i="2"/>
  <c r="Q59" i="2"/>
  <c r="P59" i="2"/>
  <c r="R17" i="2"/>
  <c r="Q17" i="2"/>
  <c r="Q15" i="2"/>
  <c r="Q1" i="2"/>
  <c r="R1" i="2" s="1"/>
  <c r="S1" i="2" s="1"/>
  <c r="T1" i="2" s="1"/>
  <c r="U1" i="2" s="1"/>
  <c r="V1" i="2" s="1"/>
  <c r="W1" i="2" s="1"/>
  <c r="R15" i="2"/>
  <c r="R9" i="2"/>
  <c r="R32" i="2" s="1"/>
  <c r="R8" i="2"/>
  <c r="R5" i="2"/>
  <c r="R29" i="2" s="1"/>
  <c r="Q9" i="2"/>
  <c r="Q32" i="2" s="1"/>
  <c r="Q8" i="2"/>
  <c r="Q5" i="2"/>
  <c r="Q29" i="2" s="1"/>
  <c r="P28" i="2"/>
  <c r="P27" i="2"/>
  <c r="P15" i="2"/>
  <c r="P9" i="2"/>
  <c r="P32" i="2" s="1"/>
  <c r="P8" i="2"/>
  <c r="P10" i="2" s="1"/>
  <c r="P5" i="2"/>
  <c r="P29" i="2" s="1"/>
  <c r="I32" i="2"/>
  <c r="I31" i="2"/>
  <c r="E17" i="2"/>
  <c r="I17" i="2"/>
  <c r="E8" i="2"/>
  <c r="D31" i="2"/>
  <c r="I28" i="2"/>
  <c r="I27" i="2"/>
  <c r="H28" i="2"/>
  <c r="H27" i="2"/>
  <c r="G28" i="2"/>
  <c r="G27" i="2"/>
  <c r="D17" i="2"/>
  <c r="H17" i="2"/>
  <c r="J31" i="2"/>
  <c r="J29" i="2"/>
  <c r="J28" i="2"/>
  <c r="J27" i="2"/>
  <c r="F17" i="2"/>
  <c r="J17" i="2"/>
  <c r="G65" i="2"/>
  <c r="G62" i="2"/>
  <c r="G61" i="2"/>
  <c r="G64" i="2" s="1"/>
  <c r="K65" i="2"/>
  <c r="K62" i="2"/>
  <c r="K61" i="2"/>
  <c r="K64" i="2" s="1"/>
  <c r="G56" i="2"/>
  <c r="G59" i="2" s="1"/>
  <c r="K58" i="2"/>
  <c r="K57" i="2"/>
  <c r="K56" i="2"/>
  <c r="K59" i="2" s="1"/>
  <c r="G53" i="2"/>
  <c r="G52" i="2"/>
  <c r="G51" i="2"/>
  <c r="G50" i="2"/>
  <c r="G49" i="2"/>
  <c r="G48" i="2"/>
  <c r="G47" i="2"/>
  <c r="G45" i="2"/>
  <c r="G44" i="2"/>
  <c r="G41" i="2"/>
  <c r="G40" i="2"/>
  <c r="G38" i="2"/>
  <c r="G37" i="2"/>
  <c r="G36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G31" i="2"/>
  <c r="K28" i="2"/>
  <c r="K27" i="2"/>
  <c r="G17" i="2"/>
  <c r="K17" i="2"/>
  <c r="C16" i="2"/>
  <c r="C21" i="2" s="1"/>
  <c r="C23" i="2" s="1"/>
  <c r="C25" i="2" s="1"/>
  <c r="J15" i="2"/>
  <c r="I15" i="2"/>
  <c r="H15" i="2"/>
  <c r="G15" i="2"/>
  <c r="F15" i="2"/>
  <c r="E15" i="2"/>
  <c r="D15" i="2"/>
  <c r="C15" i="2"/>
  <c r="B15" i="2"/>
  <c r="K15" i="2"/>
  <c r="J9" i="2"/>
  <c r="J32" i="2" s="1"/>
  <c r="I9" i="2"/>
  <c r="H9" i="2"/>
  <c r="H32" i="2" s="1"/>
  <c r="G9" i="2"/>
  <c r="G32" i="2" s="1"/>
  <c r="F9" i="2"/>
  <c r="F32" i="2" s="1"/>
  <c r="E9" i="2"/>
  <c r="E32" i="2" s="1"/>
  <c r="D9" i="2"/>
  <c r="D32" i="2" s="1"/>
  <c r="C9" i="2"/>
  <c r="B9" i="2"/>
  <c r="J8" i="2"/>
  <c r="I8" i="2"/>
  <c r="H8" i="2"/>
  <c r="H31" i="2" s="1"/>
  <c r="G8" i="2"/>
  <c r="F8" i="2"/>
  <c r="F31" i="2" s="1"/>
  <c r="E31" i="2"/>
  <c r="D8" i="2"/>
  <c r="C8" i="2"/>
  <c r="C10" i="2" s="1"/>
  <c r="B8" i="2"/>
  <c r="K9" i="2"/>
  <c r="K32" i="2" s="1"/>
  <c r="K8" i="2"/>
  <c r="K31" i="2" s="1"/>
  <c r="J5" i="2"/>
  <c r="I5" i="2"/>
  <c r="H5" i="2"/>
  <c r="H29" i="2" s="1"/>
  <c r="G5" i="2"/>
  <c r="G29" i="2" s="1"/>
  <c r="F5" i="2"/>
  <c r="E5" i="2"/>
  <c r="D5" i="2"/>
  <c r="C5" i="2"/>
  <c r="B5" i="2"/>
  <c r="K5" i="2"/>
  <c r="K29" i="2" s="1"/>
  <c r="B7" i="1"/>
  <c r="B3" i="1"/>
  <c r="B4" i="1" s="1"/>
  <c r="Y3" i="2" l="1"/>
  <c r="X28" i="2"/>
  <c r="X7" i="2"/>
  <c r="X9" i="2" s="1"/>
  <c r="X32" i="2" s="1"/>
  <c r="T28" i="2"/>
  <c r="T7" i="2"/>
  <c r="U28" i="2"/>
  <c r="U7" i="2"/>
  <c r="V28" i="2"/>
  <c r="V7" i="2"/>
  <c r="W28" i="2"/>
  <c r="W7" i="2"/>
  <c r="T27" i="2"/>
  <c r="T8" i="2"/>
  <c r="T31" i="2" s="1"/>
  <c r="T9" i="2"/>
  <c r="T32" i="2" s="1"/>
  <c r="T5" i="2"/>
  <c r="S9" i="2"/>
  <c r="S32" i="2" s="1"/>
  <c r="S5" i="2"/>
  <c r="R10" i="2"/>
  <c r="R33" i="2" s="1"/>
  <c r="Q10" i="2"/>
  <c r="Q16" i="2" s="1"/>
  <c r="R31" i="2"/>
  <c r="Q31" i="2"/>
  <c r="P33" i="2"/>
  <c r="P16" i="2"/>
  <c r="P31" i="2"/>
  <c r="I10" i="2"/>
  <c r="I29" i="2"/>
  <c r="H10" i="2"/>
  <c r="K54" i="2"/>
  <c r="F10" i="2"/>
  <c r="J10" i="2"/>
  <c r="G54" i="2"/>
  <c r="E10" i="2"/>
  <c r="D10" i="2"/>
  <c r="B10" i="2"/>
  <c r="B16" i="2" s="1"/>
  <c r="B21" i="2" s="1"/>
  <c r="B23" i="2" s="1"/>
  <c r="B25" i="2" s="1"/>
  <c r="K10" i="2"/>
  <c r="G10" i="2"/>
  <c r="G33" i="2" s="1"/>
  <c r="Y28" i="2" l="1"/>
  <c r="Y7" i="2"/>
  <c r="Y9" i="2"/>
  <c r="Y32" i="2" s="1"/>
  <c r="S29" i="2"/>
  <c r="S13" i="2"/>
  <c r="S12" i="2"/>
  <c r="S11" i="2"/>
  <c r="T29" i="2"/>
  <c r="T13" i="2"/>
  <c r="T12" i="2"/>
  <c r="T11" i="2"/>
  <c r="U6" i="2"/>
  <c r="U8" i="2" s="1"/>
  <c r="U31" i="2" s="1"/>
  <c r="U27" i="2"/>
  <c r="T10" i="2"/>
  <c r="T33" i="2" s="1"/>
  <c r="U9" i="2"/>
  <c r="U32" i="2" s="1"/>
  <c r="U5" i="2"/>
  <c r="S10" i="2"/>
  <c r="S33" i="2" s="1"/>
  <c r="K33" i="2"/>
  <c r="K16" i="2"/>
  <c r="D16" i="2"/>
  <c r="D33" i="2"/>
  <c r="F16" i="2"/>
  <c r="F33" i="2"/>
  <c r="H16" i="2"/>
  <c r="H33" i="2"/>
  <c r="I16" i="2"/>
  <c r="I33" i="2"/>
  <c r="G66" i="2"/>
  <c r="G68" i="2"/>
  <c r="J16" i="2"/>
  <c r="J33" i="2"/>
  <c r="K66" i="2"/>
  <c r="K68" i="2"/>
  <c r="G16" i="2"/>
  <c r="R16" i="2"/>
  <c r="R34" i="2" s="1"/>
  <c r="Q33" i="2"/>
  <c r="Q34" i="2"/>
  <c r="Q21" i="2"/>
  <c r="Q23" i="2" s="1"/>
  <c r="P34" i="2"/>
  <c r="P21" i="2"/>
  <c r="P23" i="2" s="1"/>
  <c r="E33" i="2"/>
  <c r="E16" i="2"/>
  <c r="U29" i="2" l="1"/>
  <c r="U13" i="2"/>
  <c r="U12" i="2"/>
  <c r="U11" i="2"/>
  <c r="T15" i="2"/>
  <c r="T16" i="2" s="1"/>
  <c r="T34" i="2" s="1"/>
  <c r="S15" i="2"/>
  <c r="S16" i="2" s="1"/>
  <c r="S34" i="2" s="1"/>
  <c r="V6" i="2"/>
  <c r="V8" i="2" s="1"/>
  <c r="V31" i="2" s="1"/>
  <c r="V27" i="2"/>
  <c r="U10" i="2"/>
  <c r="U33" i="2" s="1"/>
  <c r="V5" i="2"/>
  <c r="V9" i="2"/>
  <c r="V32" i="2" s="1"/>
  <c r="Q25" i="2"/>
  <c r="Q36" i="2"/>
  <c r="Q54" i="2" s="1"/>
  <c r="H21" i="2"/>
  <c r="H23" i="2" s="1"/>
  <c r="H25" i="2" s="1"/>
  <c r="H34" i="2"/>
  <c r="J21" i="2"/>
  <c r="J23" i="2" s="1"/>
  <c r="J25" i="2" s="1"/>
  <c r="J34" i="2"/>
  <c r="P25" i="2"/>
  <c r="P36" i="2"/>
  <c r="P54" i="2" s="1"/>
  <c r="G34" i="2"/>
  <c r="G21" i="2"/>
  <c r="G23" i="2" s="1"/>
  <c r="G25" i="2" s="1"/>
  <c r="K34" i="2"/>
  <c r="K21" i="2"/>
  <c r="K23" i="2" s="1"/>
  <c r="K25" i="2" s="1"/>
  <c r="F21" i="2"/>
  <c r="F23" i="2" s="1"/>
  <c r="F25" i="2" s="1"/>
  <c r="F34" i="2"/>
  <c r="D21" i="2"/>
  <c r="D23" i="2" s="1"/>
  <c r="D25" i="2" s="1"/>
  <c r="D34" i="2"/>
  <c r="I21" i="2"/>
  <c r="I23" i="2" s="1"/>
  <c r="I25" i="2" s="1"/>
  <c r="I34" i="2"/>
  <c r="R21" i="2"/>
  <c r="R23" i="2" s="1"/>
  <c r="E34" i="2"/>
  <c r="E21" i="2"/>
  <c r="E23" i="2" s="1"/>
  <c r="E25" i="2" s="1"/>
  <c r="T21" i="2" l="1"/>
  <c r="T22" i="2" s="1"/>
  <c r="T23" i="2" s="1"/>
  <c r="T25" i="2" s="1"/>
  <c r="U15" i="2"/>
  <c r="U16" i="2" s="1"/>
  <c r="U34" i="2" s="1"/>
  <c r="V13" i="2"/>
  <c r="V12" i="2"/>
  <c r="V11" i="2"/>
  <c r="V29" i="2"/>
  <c r="W27" i="2"/>
  <c r="W6" i="2"/>
  <c r="W8" i="2" s="1"/>
  <c r="W31" i="2" s="1"/>
  <c r="W9" i="2"/>
  <c r="W32" i="2" s="1"/>
  <c r="V10" i="2"/>
  <c r="V33" i="2" s="1"/>
  <c r="W5" i="2"/>
  <c r="S21" i="2"/>
  <c r="R25" i="2"/>
  <c r="R36" i="2"/>
  <c r="R54" i="2" s="1"/>
  <c r="Q66" i="2"/>
  <c r="P66" i="2"/>
  <c r="V15" i="2" l="1"/>
  <c r="T36" i="2"/>
  <c r="X6" i="2"/>
  <c r="X8" i="2" s="1"/>
  <c r="X27" i="2"/>
  <c r="X5" i="2"/>
  <c r="S22" i="2"/>
  <c r="S23" i="2" s="1"/>
  <c r="W13" i="2"/>
  <c r="W12" i="2"/>
  <c r="W11" i="2"/>
  <c r="W29" i="2"/>
  <c r="V16" i="2"/>
  <c r="V34" i="2" s="1"/>
  <c r="W10" i="2"/>
  <c r="W33" i="2" s="1"/>
  <c r="U21" i="2"/>
  <c r="R66" i="2"/>
  <c r="W15" i="2" l="1"/>
  <c r="S25" i="2"/>
  <c r="S36" i="2"/>
  <c r="S54" i="2" s="1"/>
  <c r="S66" i="2" s="1"/>
  <c r="X12" i="2"/>
  <c r="X11" i="2"/>
  <c r="X29" i="2"/>
  <c r="X13" i="2"/>
  <c r="U22" i="2"/>
  <c r="U23" i="2" s="1"/>
  <c r="U25" i="2" s="1"/>
  <c r="X10" i="2"/>
  <c r="X31" i="2"/>
  <c r="Y27" i="2"/>
  <c r="Y5" i="2"/>
  <c r="Y6" i="2"/>
  <c r="Y8" i="2" s="1"/>
  <c r="W16" i="2"/>
  <c r="W34" i="2" s="1"/>
  <c r="V21" i="2"/>
  <c r="Y10" i="2" l="1"/>
  <c r="Y31" i="2"/>
  <c r="X15" i="2"/>
  <c r="X16" i="2" s="1"/>
  <c r="Y29" i="2"/>
  <c r="Y13" i="2"/>
  <c r="Y12" i="2"/>
  <c r="Y11" i="2"/>
  <c r="S68" i="2"/>
  <c r="X33" i="2"/>
  <c r="V22" i="2"/>
  <c r="V23" i="2" s="1"/>
  <c r="W21" i="2"/>
  <c r="Y15" i="2" l="1"/>
  <c r="Y16" i="2" s="1"/>
  <c r="V25" i="2"/>
  <c r="X21" i="2"/>
  <c r="X34" i="2"/>
  <c r="Y33" i="2"/>
  <c r="W22" i="2"/>
  <c r="W23" i="2" s="1"/>
  <c r="W25" i="2" l="1"/>
  <c r="Y21" i="2"/>
  <c r="Y34" i="2"/>
  <c r="X22" i="2"/>
  <c r="X23" i="2" s="1"/>
  <c r="X25" i="2" s="1"/>
  <c r="Y22" i="2" l="1"/>
  <c r="Y23" i="2" s="1"/>
  <c r="Y25" i="2" l="1"/>
  <c r="Z23" i="2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AB5" i="2" s="1"/>
  <c r="AB7" i="2" s="1"/>
  <c r="AB8" i="2" s="1"/>
</calcChain>
</file>

<file path=xl/sharedStrings.xml><?xml version="1.0" encoding="utf-8"?>
<sst xmlns="http://schemas.openxmlformats.org/spreadsheetml/2006/main" count="102" uniqueCount="100">
  <si>
    <t>ticket</t>
  </si>
  <si>
    <t>price</t>
  </si>
  <si>
    <t>shares</t>
  </si>
  <si>
    <t>mc</t>
  </si>
  <si>
    <t>cash</t>
  </si>
  <si>
    <t>debt</t>
  </si>
  <si>
    <t>ev</t>
  </si>
  <si>
    <t>GCT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</si>
  <si>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</si>
  <si>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</si>
  <si>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</si>
  <si>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</si>
  <si>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</si>
  <si>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</si>
  <si>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</si>
  <si>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</si>
  <si>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</si>
  <si>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</si>
  <si>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</si>
  <si>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</si>
  <si>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Services</t>
  </si>
  <si>
    <t>Products</t>
  </si>
  <si>
    <t>Revenue</t>
  </si>
  <si>
    <t>COGS Services</t>
  </si>
  <si>
    <t>COGS Products</t>
  </si>
  <si>
    <t>Gross Profit Services</t>
  </si>
  <si>
    <t>Gross Profit Products</t>
  </si>
  <si>
    <t>Total Gross Profit</t>
  </si>
  <si>
    <t>S&amp;M</t>
  </si>
  <si>
    <t>G&amp;A</t>
  </si>
  <si>
    <t>R&amp;D</t>
  </si>
  <si>
    <t>Losses on PPE</t>
  </si>
  <si>
    <t>Total Opex</t>
  </si>
  <si>
    <t>Operating Income</t>
  </si>
  <si>
    <t>Net Interest</t>
  </si>
  <si>
    <t>FX gains</t>
  </si>
  <si>
    <t>Government grants</t>
  </si>
  <si>
    <t>Other</t>
  </si>
  <si>
    <t>Pretax Income</t>
  </si>
  <si>
    <t>Taxes</t>
  </si>
  <si>
    <t>Net Income</t>
  </si>
  <si>
    <t>Shares</t>
  </si>
  <si>
    <t>EPS</t>
  </si>
  <si>
    <t>Services y/y</t>
  </si>
  <si>
    <t>Products y/y</t>
  </si>
  <si>
    <t>Revenue y/y</t>
  </si>
  <si>
    <t>Services Gross Margin</t>
  </si>
  <si>
    <t>Products Gross Margin</t>
  </si>
  <si>
    <t>Total Gross Margin</t>
  </si>
  <si>
    <t>Operating Margin</t>
  </si>
  <si>
    <t>Doubtful accounts</t>
  </si>
  <si>
    <t>Inventory write-down</t>
  </si>
  <si>
    <t>Loss on assets</t>
  </si>
  <si>
    <t>Deferred tax</t>
  </si>
  <si>
    <t>SBC</t>
  </si>
  <si>
    <t>D&amp;A</t>
  </si>
  <si>
    <t>Loss on PPE</t>
  </si>
  <si>
    <t>Operating lease</t>
  </si>
  <si>
    <t>unrealized FX gains</t>
  </si>
  <si>
    <t>Others</t>
  </si>
  <si>
    <t>AR</t>
  </si>
  <si>
    <t>Inventories</t>
  </si>
  <si>
    <t>Prepayments</t>
  </si>
  <si>
    <t>AP</t>
  </si>
  <si>
    <t>Contract liabilities</t>
  </si>
  <si>
    <t xml:space="preserve">Income taxes </t>
  </si>
  <si>
    <t>Accrued expenses</t>
  </si>
  <si>
    <t>CFFO</t>
  </si>
  <si>
    <t>Purchase of PPE</t>
  </si>
  <si>
    <t>Disposal of PPE</t>
  </si>
  <si>
    <t>Purchase of investments</t>
  </si>
  <si>
    <t>CFFI</t>
  </si>
  <si>
    <t>Repayment of finance oblig</t>
  </si>
  <si>
    <t>Repayment of loans</t>
  </si>
  <si>
    <t>CFFF</t>
  </si>
  <si>
    <t>FX</t>
  </si>
  <si>
    <t>Net change in cash</t>
  </si>
  <si>
    <t>FCF</t>
  </si>
  <si>
    <t>Share repurchase</t>
  </si>
  <si>
    <t>GMV</t>
  </si>
  <si>
    <t>Avg spend</t>
  </si>
  <si>
    <t>Buyers</t>
  </si>
  <si>
    <t>3P service revenue</t>
  </si>
  <si>
    <t>1P revenue</t>
  </si>
  <si>
    <t>Founded</t>
  </si>
  <si>
    <t>Founder</t>
  </si>
  <si>
    <t>CEO</t>
  </si>
  <si>
    <t>HQ</t>
  </si>
  <si>
    <t>IPO</t>
  </si>
  <si>
    <t xml:space="preserve">Industy </t>
  </si>
  <si>
    <t>Larry Lu</t>
  </si>
  <si>
    <t>HK, CH</t>
  </si>
  <si>
    <t>E-commerce Infrastructure</t>
  </si>
  <si>
    <t>Discount</t>
  </si>
  <si>
    <t>Maturity</t>
  </si>
  <si>
    <t>ROIC</t>
  </si>
  <si>
    <t>NPV</t>
  </si>
  <si>
    <t>Net cash</t>
  </si>
  <si>
    <t>Mkt 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</si>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</sst>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_ ;_-[$$-409]* \-#,##0.00\ ;_-[$$-409]* &quot;-&quot;??_ ;_-@_ "/>
    <numFmt numFmtId="165" formatCode="#,##0.0"/>
    <numFmt numFmtId="166" formatCode="_-[$$-409]* #,##0_ ;_-[$$-409]* \-#,##0\ ;_-[$$-409]* &quot;-&quot;??_ ;_-@_ "/>
    <numFmt numFmtId="171" formatCode="0.0%"/>
    <numFmt numFmtId="173" formatCode="#,##0_ ;[Red]\-#,##0\ 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71" fontId="1" fillId="0" borderId="0" xfId="0" applyNumberFormat="1" applyFont="1"/>
    <xf numFmtId="17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28575</xdr:rowOff>
    </xdr:from>
    <xdr:to>
      <xdr:col>11</xdr:col>
      <xdr:colOff>19050</xdr:colOff>
      <xdr:row>71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97DCE5-7BD7-9552-27AB-DA62482FD1B9}"/>
            </a:ext>
          </a:extLst>
        </xdr:cNvPr>
        <xdr:cNvCxnSpPr/>
      </xdr:nvCxnSpPr>
      <xdr:spPr>
        <a:xfrm>
          <a:off x="7458075" y="28575"/>
          <a:ext cx="19050" cy="11353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19050</xdr:colOff>
      <xdr:row>74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C6F43DD-AF9D-4389-8B7B-4AF9380098C9}"/>
            </a:ext>
          </a:extLst>
        </xdr:cNvPr>
        <xdr:cNvCxnSpPr/>
      </xdr:nvCxnSpPr>
      <xdr:spPr>
        <a:xfrm>
          <a:off x="11887200" y="0"/>
          <a:ext cx="9525" cy="12020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978B-DA71-461A-A334-2573B1A48D77}">
  <dimension ref="A1:E7"/>
  <sheetViews>
    <sheetView workbookViewId="0">
      <selection activeCell="D1" sqref="D1"/>
    </sheetView>
  </sheetViews>
  <sheetFormatPr defaultRowHeight="12.75" x14ac:dyDescent="0.2"/>
  <cols>
    <col min="1" max="16384" width="9.140625" style="1"/>
  </cols>
  <sheetData>
    <row r="1" spans="1:5" x14ac:dyDescent="0.2">
      <c r="A1" s="1" t="s">
        <v>0</v>
      </c>
      <c r="B1" s="1" t="s">
        <v>7</v>
      </c>
      <c r="D1" s="3" t="s">
        <v>84</v>
      </c>
      <c r="E1" s="1">
        <v>2014</v>
      </c>
    </row>
    <row r="2" spans="1:5" x14ac:dyDescent="0.2">
      <c r="A2" s="1" t="s">
        <v>1</v>
      </c>
      <c r="B2" s="1">
        <v>21.85</v>
      </c>
      <c r="D2" s="3" t="s">
        <v>85</v>
      </c>
      <c r="E2" s="1" t="s">
        <v>90</v>
      </c>
    </row>
    <row r="3" spans="1:5" x14ac:dyDescent="0.2">
      <c r="A3" s="1" t="s">
        <v>2</v>
      </c>
      <c r="B3" s="1">
        <f>41.362+8.076</f>
        <v>49.438000000000002</v>
      </c>
      <c r="D3" s="3" t="s">
        <v>86</v>
      </c>
      <c r="E3" s="1" t="s">
        <v>90</v>
      </c>
    </row>
    <row r="4" spans="1:5" x14ac:dyDescent="0.2">
      <c r="A4" s="1" t="s">
        <v>3</v>
      </c>
      <c r="B4" s="2">
        <f>+B2*B3</f>
        <v>1080.2203000000002</v>
      </c>
      <c r="D4" s="3" t="s">
        <v>87</v>
      </c>
      <c r="E4" s="1" t="s">
        <v>91</v>
      </c>
    </row>
    <row r="5" spans="1:5" x14ac:dyDescent="0.2">
      <c r="A5" s="1" t="s">
        <v>4</v>
      </c>
      <c r="B5" s="2">
        <v>183.28299999999999</v>
      </c>
      <c r="D5" s="3" t="s">
        <v>88</v>
      </c>
      <c r="E5" s="1">
        <v>2022</v>
      </c>
    </row>
    <row r="6" spans="1:5" ht="15" x14ac:dyDescent="0.25">
      <c r="A6" s="1" t="s">
        <v>5</v>
      </c>
      <c r="B6" s="2">
        <v>0.111</v>
      </c>
      <c r="D6" s="3" t="s">
        <v>89</v>
      </c>
      <c r="E6" t="s">
        <v>92</v>
      </c>
    </row>
    <row r="7" spans="1:5" x14ac:dyDescent="0.2">
      <c r="A7" s="1" t="s">
        <v>6</v>
      </c>
      <c r="B7" s="2">
        <f>+B4-B5+B6</f>
        <v>897.04830000000015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BF01-1A6E-4DB8-B166-032321A29B64}">
  <dimension ref="A1:BJ74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T3" sqref="T3"/>
    </sheetView>
  </sheetViews>
  <sheetFormatPr defaultRowHeight="12.75" x14ac:dyDescent="0.2"/>
  <cols>
    <col min="1" max="1" width="20.42578125" style="1" bestFit="1" customWidth="1"/>
    <col min="2" max="14" width="9.140625" style="1"/>
    <col min="15" max="18" width="9.7109375" style="1" bestFit="1" customWidth="1"/>
    <col min="19" max="27" width="9.140625" style="1"/>
    <col min="28" max="28" width="9.7109375" style="1" bestFit="1" customWidth="1"/>
    <col min="29" max="16384" width="9.140625" style="1"/>
  </cols>
  <sheetData>
    <row r="1" spans="1:29" x14ac:dyDescent="0.2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O1" s="3">
        <v>2020</v>
      </c>
      <c r="P1" s="3">
        <v>2021</v>
      </c>
      <c r="Q1" s="3">
        <f>+P1+1</f>
        <v>2022</v>
      </c>
      <c r="R1" s="3">
        <f t="shared" ref="R1:W1" si="0">+Q1+1</f>
        <v>2023</v>
      </c>
      <c r="S1" s="3">
        <f t="shared" si="0"/>
        <v>2024</v>
      </c>
      <c r="T1" s="3">
        <f t="shared" si="0"/>
        <v>2025</v>
      </c>
      <c r="U1" s="3">
        <f t="shared" si="0"/>
        <v>2026</v>
      </c>
      <c r="V1" s="3">
        <f t="shared" si="0"/>
        <v>2027</v>
      </c>
      <c r="W1" s="3">
        <f t="shared" si="0"/>
        <v>2028</v>
      </c>
      <c r="X1" s="3">
        <f t="shared" ref="X1" si="1">+W1+1</f>
        <v>2029</v>
      </c>
      <c r="Y1" s="3">
        <f t="shared" ref="Y1" si="2">+X1+1</f>
        <v>2030</v>
      </c>
    </row>
    <row r="2" spans="1:29" x14ac:dyDescent="0.2">
      <c r="A2" s="1" t="s">
        <v>20</v>
      </c>
      <c r="B2" s="2"/>
      <c r="C2" s="2"/>
      <c r="D2" s="2">
        <v>40.518000000000001</v>
      </c>
      <c r="E2" s="2">
        <v>36.069000000000003</v>
      </c>
      <c r="F2" s="2">
        <v>35.095999999999997</v>
      </c>
      <c r="G2" s="2">
        <v>43.277999999999999</v>
      </c>
      <c r="H2" s="2">
        <v>51.473999999999997</v>
      </c>
      <c r="I2" s="2">
        <v>69.335999999999999</v>
      </c>
      <c r="J2" s="2">
        <v>67.415000000000006</v>
      </c>
      <c r="K2" s="2">
        <v>85.378</v>
      </c>
      <c r="L2" s="2"/>
      <c r="M2" s="2"/>
      <c r="P2" s="2"/>
      <c r="Q2" s="2">
        <v>140.62799999999999</v>
      </c>
      <c r="R2" s="2">
        <v>199.184</v>
      </c>
      <c r="S2" s="2">
        <f>+R2*1.1</f>
        <v>219.10240000000002</v>
      </c>
      <c r="T2" s="2">
        <f t="shared" ref="T2:Y2" si="3">+S2*1.1</f>
        <v>241.01264000000003</v>
      </c>
      <c r="U2" s="2">
        <f t="shared" si="3"/>
        <v>265.11390400000005</v>
      </c>
      <c r="V2" s="2">
        <f t="shared" si="3"/>
        <v>291.62529440000009</v>
      </c>
      <c r="W2" s="2">
        <f t="shared" si="3"/>
        <v>320.7878238400001</v>
      </c>
      <c r="X2" s="2">
        <f t="shared" si="3"/>
        <v>352.86660622400012</v>
      </c>
      <c r="Y2" s="2">
        <f t="shared" si="3"/>
        <v>388.15326684640019</v>
      </c>
      <c r="AA2" s="1" t="s">
        <v>93</v>
      </c>
      <c r="AB2" s="6">
        <v>0.12</v>
      </c>
    </row>
    <row r="3" spans="1:29" x14ac:dyDescent="0.2">
      <c r="A3" s="1" t="s">
        <v>21</v>
      </c>
      <c r="B3" s="2"/>
      <c r="C3" s="2"/>
      <c r="D3" s="2">
        <v>87.48</v>
      </c>
      <c r="E3" s="2">
        <v>89.534999999999997</v>
      </c>
      <c r="F3" s="2">
        <v>92.700999999999993</v>
      </c>
      <c r="G3" s="2">
        <v>109.852</v>
      </c>
      <c r="H3" s="2">
        <v>126.693</v>
      </c>
      <c r="I3" s="2">
        <v>175.40100000000001</v>
      </c>
      <c r="J3" s="2">
        <v>183.66200000000001</v>
      </c>
      <c r="K3" s="2">
        <v>225.489</v>
      </c>
      <c r="L3" s="2"/>
      <c r="M3" s="2"/>
      <c r="P3" s="2"/>
      <c r="Q3" s="2">
        <v>349.44299999999998</v>
      </c>
      <c r="R3" s="2">
        <v>504.64699999999999</v>
      </c>
      <c r="S3" s="2">
        <f t="shared" ref="S3:Y3" si="4">+R3*1.1</f>
        <v>555.11170000000004</v>
      </c>
      <c r="T3" s="2">
        <f t="shared" si="4"/>
        <v>610.62287000000015</v>
      </c>
      <c r="U3" s="2">
        <f t="shared" si="4"/>
        <v>671.68515700000023</v>
      </c>
      <c r="V3" s="2">
        <f t="shared" si="4"/>
        <v>738.85367270000029</v>
      </c>
      <c r="W3" s="2">
        <f t="shared" si="4"/>
        <v>812.73903997000036</v>
      </c>
      <c r="X3" s="2">
        <f t="shared" si="4"/>
        <v>894.01294396700052</v>
      </c>
      <c r="Y3" s="2">
        <f t="shared" si="4"/>
        <v>983.41423836370063</v>
      </c>
      <c r="AA3" s="1" t="s">
        <v>94</v>
      </c>
      <c r="AB3" s="6">
        <v>0.02</v>
      </c>
    </row>
    <row r="4" spans="1:29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s="2"/>
      <c r="Q4" s="2"/>
      <c r="R4" s="2"/>
      <c r="S4" s="2"/>
      <c r="T4" s="2"/>
      <c r="U4" s="2"/>
      <c r="V4" s="2"/>
      <c r="W4" s="2"/>
      <c r="AA4" s="1" t="s">
        <v>95</v>
      </c>
    </row>
    <row r="5" spans="1:29" x14ac:dyDescent="0.2">
      <c r="A5" s="3" t="s">
        <v>22</v>
      </c>
      <c r="B5" s="4">
        <f t="shared" ref="B5:J5" si="5">+B2+B3</f>
        <v>0</v>
      </c>
      <c r="C5" s="4">
        <f t="shared" si="5"/>
        <v>0</v>
      </c>
      <c r="D5" s="4">
        <f t="shared" si="5"/>
        <v>127.998</v>
      </c>
      <c r="E5" s="4">
        <f t="shared" si="5"/>
        <v>125.604</v>
      </c>
      <c r="F5" s="4">
        <f t="shared" si="5"/>
        <v>127.797</v>
      </c>
      <c r="G5" s="4">
        <f>+G2+G3</f>
        <v>153.13</v>
      </c>
      <c r="H5" s="4">
        <f t="shared" si="5"/>
        <v>178.167</v>
      </c>
      <c r="I5" s="4">
        <f t="shared" si="5"/>
        <v>244.73700000000002</v>
      </c>
      <c r="J5" s="4">
        <f t="shared" si="5"/>
        <v>251.077</v>
      </c>
      <c r="K5" s="4">
        <f>+K2+K3</f>
        <v>310.86700000000002</v>
      </c>
      <c r="L5" s="2"/>
      <c r="M5" s="2"/>
      <c r="P5" s="4">
        <f t="shared" ref="P5:Y5" si="6">+P2+P3</f>
        <v>0</v>
      </c>
      <c r="Q5" s="4">
        <f t="shared" si="6"/>
        <v>490.07099999999997</v>
      </c>
      <c r="R5" s="4">
        <f t="shared" si="6"/>
        <v>703.83100000000002</v>
      </c>
      <c r="S5" s="4">
        <f t="shared" si="6"/>
        <v>774.21410000000003</v>
      </c>
      <c r="T5" s="4">
        <f t="shared" si="6"/>
        <v>851.63551000000018</v>
      </c>
      <c r="U5" s="4">
        <f t="shared" si="6"/>
        <v>936.79906100000028</v>
      </c>
      <c r="V5" s="4">
        <f t="shared" si="6"/>
        <v>1030.4789671000003</v>
      </c>
      <c r="W5" s="4">
        <f t="shared" si="6"/>
        <v>1133.5268638100006</v>
      </c>
      <c r="X5" s="4">
        <f t="shared" si="6"/>
        <v>1246.8795501910006</v>
      </c>
      <c r="Y5" s="4">
        <f t="shared" si="6"/>
        <v>1371.5675052101008</v>
      </c>
      <c r="AA5" s="1" t="s">
        <v>96</v>
      </c>
      <c r="AB5" s="14">
        <f>+NPV(AB2,S23:BJ23)</f>
        <v>1303.0079120825449</v>
      </c>
    </row>
    <row r="6" spans="1:29" x14ac:dyDescent="0.2">
      <c r="A6" s="1" t="s">
        <v>23</v>
      </c>
      <c r="B6" s="2"/>
      <c r="C6" s="2"/>
      <c r="D6" s="2">
        <v>32.630000000000003</v>
      </c>
      <c r="E6" s="2">
        <v>29.927</v>
      </c>
      <c r="F6" s="2">
        <v>28.766999999999999</v>
      </c>
      <c r="G6" s="2">
        <v>34.781999999999996</v>
      </c>
      <c r="H6" s="2">
        <v>40.375</v>
      </c>
      <c r="I6" s="2">
        <v>57.290999999999997</v>
      </c>
      <c r="J6" s="2">
        <v>54.430999999999997</v>
      </c>
      <c r="K6" s="2">
        <v>74.040000000000006</v>
      </c>
      <c r="L6" s="2"/>
      <c r="M6" s="2"/>
      <c r="P6" s="2"/>
      <c r="Q6" s="2">
        <v>120.102</v>
      </c>
      <c r="R6" s="2">
        <v>161.215</v>
      </c>
      <c r="S6" s="2">
        <f>+S2*0.81</f>
        <v>177.47294400000001</v>
      </c>
      <c r="T6" s="2">
        <f t="shared" ref="T6:Y6" si="7">+T2*0.81</f>
        <v>195.22023840000003</v>
      </c>
      <c r="U6" s="2">
        <f t="shared" si="7"/>
        <v>214.74226224000006</v>
      </c>
      <c r="V6" s="2">
        <f t="shared" si="7"/>
        <v>236.21648846400009</v>
      </c>
      <c r="W6" s="2">
        <f t="shared" si="7"/>
        <v>259.8381373104001</v>
      </c>
      <c r="X6" s="2">
        <f t="shared" si="7"/>
        <v>285.82195104144012</v>
      </c>
      <c r="Y6" s="2">
        <f t="shared" si="7"/>
        <v>314.40414614558415</v>
      </c>
      <c r="AA6" s="1" t="s">
        <v>97</v>
      </c>
      <c r="AB6" s="14">
        <f>+main!B5</f>
        <v>183.28299999999999</v>
      </c>
    </row>
    <row r="7" spans="1:29" x14ac:dyDescent="0.2">
      <c r="A7" s="1" t="s">
        <v>24</v>
      </c>
      <c r="B7" s="2"/>
      <c r="C7" s="2"/>
      <c r="D7" s="2">
        <v>72.819000000000003</v>
      </c>
      <c r="E7" s="2">
        <v>69.003</v>
      </c>
      <c r="F7" s="2">
        <v>69.456000000000003</v>
      </c>
      <c r="G7" s="2">
        <v>77.983999999999995</v>
      </c>
      <c r="H7" s="2">
        <v>88.933999999999997</v>
      </c>
      <c r="I7" s="2">
        <v>117.60899999999999</v>
      </c>
      <c r="J7" s="2">
        <v>130.09800000000001</v>
      </c>
      <c r="K7" s="2">
        <v>160.38</v>
      </c>
      <c r="L7" s="2"/>
      <c r="M7" s="2"/>
      <c r="P7" s="2"/>
      <c r="Q7" s="2">
        <v>286.85500000000002</v>
      </c>
      <c r="R7" s="2">
        <v>353.983</v>
      </c>
      <c r="S7" s="2">
        <f>+S3*0.7</f>
        <v>388.57819000000001</v>
      </c>
      <c r="T7" s="2">
        <f t="shared" ref="T7:Y7" si="8">+T3*0.7</f>
        <v>427.43600900000007</v>
      </c>
      <c r="U7" s="2">
        <f t="shared" si="8"/>
        <v>470.17960990000012</v>
      </c>
      <c r="V7" s="2">
        <f t="shared" si="8"/>
        <v>517.19757089000018</v>
      </c>
      <c r="W7" s="2">
        <f t="shared" si="8"/>
        <v>568.91732797900022</v>
      </c>
      <c r="X7" s="2">
        <f t="shared" si="8"/>
        <v>625.80906077690031</v>
      </c>
      <c r="Y7" s="2">
        <f t="shared" si="8"/>
        <v>688.3899668545904</v>
      </c>
      <c r="AA7" s="1" t="s">
        <v>98</v>
      </c>
      <c r="AB7" s="14">
        <f>+AB5+AB6</f>
        <v>1486.2909120825448</v>
      </c>
    </row>
    <row r="8" spans="1:29" x14ac:dyDescent="0.2">
      <c r="A8" s="1" t="s">
        <v>25</v>
      </c>
      <c r="B8" s="2">
        <f t="shared" ref="B8:J9" si="9">+B2-B6</f>
        <v>0</v>
      </c>
      <c r="C8" s="2">
        <f t="shared" si="9"/>
        <v>0</v>
      </c>
      <c r="D8" s="2">
        <f t="shared" si="9"/>
        <v>7.8879999999999981</v>
      </c>
      <c r="E8" s="2">
        <f>+E2-E6</f>
        <v>6.142000000000003</v>
      </c>
      <c r="F8" s="2">
        <f t="shared" si="9"/>
        <v>6.3289999999999971</v>
      </c>
      <c r="G8" s="2">
        <f>+G2-G6</f>
        <v>8.4960000000000022</v>
      </c>
      <c r="H8" s="2">
        <f t="shared" si="9"/>
        <v>11.098999999999997</v>
      </c>
      <c r="I8" s="2">
        <f t="shared" si="9"/>
        <v>12.045000000000002</v>
      </c>
      <c r="J8" s="2">
        <f t="shared" si="9"/>
        <v>12.984000000000009</v>
      </c>
      <c r="K8" s="2">
        <f>+K2-K6</f>
        <v>11.337999999999994</v>
      </c>
      <c r="L8" s="2"/>
      <c r="M8" s="2"/>
      <c r="P8" s="2">
        <f t="shared" ref="P8:W9" si="10">+P2-P6</f>
        <v>0</v>
      </c>
      <c r="Q8" s="2">
        <f t="shared" si="10"/>
        <v>20.525999999999982</v>
      </c>
      <c r="R8" s="2">
        <f t="shared" si="10"/>
        <v>37.968999999999994</v>
      </c>
      <c r="S8" s="2">
        <f t="shared" si="10"/>
        <v>41.629456000000005</v>
      </c>
      <c r="T8" s="2">
        <f t="shared" si="10"/>
        <v>45.792401600000005</v>
      </c>
      <c r="U8" s="2">
        <f t="shared" si="10"/>
        <v>50.371641759999989</v>
      </c>
      <c r="V8" s="2">
        <f t="shared" si="10"/>
        <v>55.408805935999993</v>
      </c>
      <c r="W8" s="2">
        <f t="shared" si="10"/>
        <v>60.949686529600001</v>
      </c>
      <c r="X8" s="2">
        <f t="shared" ref="X8:Y8" si="11">+X2-X6</f>
        <v>67.044655182560007</v>
      </c>
      <c r="Y8" s="2">
        <f t="shared" si="11"/>
        <v>73.749120700816036</v>
      </c>
      <c r="AA8" s="1" t="s">
        <v>99</v>
      </c>
      <c r="AB8" s="5">
        <f>+AB7/main!B3</f>
        <v>30.063734618765821</v>
      </c>
    </row>
    <row r="9" spans="1:29" x14ac:dyDescent="0.2">
      <c r="A9" s="1" t="s">
        <v>26</v>
      </c>
      <c r="B9" s="2">
        <f t="shared" si="9"/>
        <v>0</v>
      </c>
      <c r="C9" s="2">
        <f t="shared" si="9"/>
        <v>0</v>
      </c>
      <c r="D9" s="2">
        <f t="shared" si="9"/>
        <v>14.661000000000001</v>
      </c>
      <c r="E9" s="2">
        <f t="shared" si="9"/>
        <v>20.531999999999996</v>
      </c>
      <c r="F9" s="2">
        <f t="shared" si="9"/>
        <v>23.24499999999999</v>
      </c>
      <c r="G9" s="2">
        <f>+G3-G7</f>
        <v>31.868000000000009</v>
      </c>
      <c r="H9" s="2">
        <f t="shared" si="9"/>
        <v>37.759</v>
      </c>
      <c r="I9" s="2">
        <f t="shared" si="9"/>
        <v>57.792000000000016</v>
      </c>
      <c r="J9" s="2">
        <f t="shared" si="9"/>
        <v>53.563999999999993</v>
      </c>
      <c r="K9" s="2">
        <f>+K3-K7</f>
        <v>65.109000000000009</v>
      </c>
      <c r="L9" s="2"/>
      <c r="M9" s="2"/>
      <c r="P9" s="2">
        <f t="shared" si="10"/>
        <v>0</v>
      </c>
      <c r="Q9" s="2">
        <f t="shared" si="10"/>
        <v>62.587999999999965</v>
      </c>
      <c r="R9" s="2">
        <f t="shared" si="10"/>
        <v>150.66399999999999</v>
      </c>
      <c r="S9" s="2">
        <f t="shared" si="10"/>
        <v>166.53351000000004</v>
      </c>
      <c r="T9" s="2">
        <f t="shared" si="10"/>
        <v>183.18686100000008</v>
      </c>
      <c r="U9" s="2">
        <f t="shared" si="10"/>
        <v>201.50554710000011</v>
      </c>
      <c r="V9" s="2">
        <f t="shared" si="10"/>
        <v>221.65610181000011</v>
      </c>
      <c r="W9" s="2">
        <f t="shared" si="10"/>
        <v>243.82171199100014</v>
      </c>
      <c r="X9" s="2">
        <f t="shared" ref="X9:Y9" si="12">+X3-X7</f>
        <v>268.20388319010021</v>
      </c>
      <c r="Y9" s="2">
        <f t="shared" si="12"/>
        <v>295.02427150911024</v>
      </c>
    </row>
    <row r="10" spans="1:29" x14ac:dyDescent="0.2">
      <c r="A10" s="1" t="s">
        <v>27</v>
      </c>
      <c r="B10" s="2">
        <f t="shared" ref="B10:J10" si="13">+B8+B9</f>
        <v>0</v>
      </c>
      <c r="C10" s="2">
        <f t="shared" si="13"/>
        <v>0</v>
      </c>
      <c r="D10" s="2">
        <f t="shared" si="13"/>
        <v>22.548999999999999</v>
      </c>
      <c r="E10" s="2">
        <f t="shared" si="13"/>
        <v>26.673999999999999</v>
      </c>
      <c r="F10" s="2">
        <f t="shared" si="13"/>
        <v>29.573999999999987</v>
      </c>
      <c r="G10" s="2">
        <f t="shared" si="13"/>
        <v>40.364000000000011</v>
      </c>
      <c r="H10" s="2">
        <f t="shared" si="13"/>
        <v>48.857999999999997</v>
      </c>
      <c r="I10" s="2">
        <f t="shared" si="13"/>
        <v>69.837000000000018</v>
      </c>
      <c r="J10" s="2">
        <f t="shared" si="13"/>
        <v>66.548000000000002</v>
      </c>
      <c r="K10" s="2">
        <f>+K8+K9</f>
        <v>76.447000000000003</v>
      </c>
      <c r="L10" s="2"/>
      <c r="M10" s="2"/>
      <c r="P10" s="2">
        <f t="shared" ref="P10:W10" si="14">+P8+P9</f>
        <v>0</v>
      </c>
      <c r="Q10" s="2">
        <f t="shared" si="14"/>
        <v>83.113999999999947</v>
      </c>
      <c r="R10" s="2">
        <f t="shared" si="14"/>
        <v>188.63299999999998</v>
      </c>
      <c r="S10" s="2">
        <f t="shared" si="14"/>
        <v>208.16296600000004</v>
      </c>
      <c r="T10" s="2">
        <f t="shared" si="14"/>
        <v>228.97926260000008</v>
      </c>
      <c r="U10" s="2">
        <f t="shared" si="14"/>
        <v>251.8771888600001</v>
      </c>
      <c r="V10" s="2">
        <f t="shared" si="14"/>
        <v>277.06490774600013</v>
      </c>
      <c r="W10" s="2">
        <f t="shared" si="14"/>
        <v>304.77139852060014</v>
      </c>
      <c r="X10" s="2">
        <f t="shared" ref="X10:Y10" si="15">+X8+X9</f>
        <v>335.24853837266022</v>
      </c>
      <c r="Y10" s="2">
        <f t="shared" si="15"/>
        <v>368.77339220992627</v>
      </c>
    </row>
    <row r="11" spans="1:29" x14ac:dyDescent="0.2">
      <c r="A11" s="1" t="s">
        <v>28</v>
      </c>
      <c r="B11" s="2"/>
      <c r="C11" s="2"/>
      <c r="D11" s="2">
        <v>6.7679999999999998</v>
      </c>
      <c r="E11" s="2">
        <v>6.2560000000000002</v>
      </c>
      <c r="F11" s="2">
        <v>6.8959999999999999</v>
      </c>
      <c r="G11" s="2">
        <v>9.5350000000000001</v>
      </c>
      <c r="H11" s="2">
        <v>10.951000000000001</v>
      </c>
      <c r="I11" s="2">
        <v>14.004</v>
      </c>
      <c r="J11" s="2">
        <v>14.58</v>
      </c>
      <c r="K11" s="2">
        <v>19.46</v>
      </c>
      <c r="L11" s="2"/>
      <c r="M11" s="2"/>
      <c r="P11" s="2"/>
      <c r="Q11" s="2">
        <v>24.038</v>
      </c>
      <c r="R11" s="2">
        <v>41.386000000000003</v>
      </c>
      <c r="S11" s="2">
        <f>+S5*0.06</f>
        <v>46.452846000000001</v>
      </c>
      <c r="T11" s="2">
        <f t="shared" ref="T11:Y11" si="16">+T5*0.06</f>
        <v>51.098130600000012</v>
      </c>
      <c r="U11" s="2">
        <f t="shared" si="16"/>
        <v>56.207943660000012</v>
      </c>
      <c r="V11" s="2">
        <f t="shared" si="16"/>
        <v>61.828738026000018</v>
      </c>
      <c r="W11" s="2">
        <f t="shared" si="16"/>
        <v>68.011611828600039</v>
      </c>
      <c r="X11" s="2">
        <f t="shared" si="16"/>
        <v>74.812773011460038</v>
      </c>
      <c r="Y11" s="2">
        <f t="shared" si="16"/>
        <v>82.294050312606046</v>
      </c>
      <c r="AA11" s="13"/>
      <c r="AB11" s="13"/>
      <c r="AC11" s="13"/>
    </row>
    <row r="12" spans="1:29" x14ac:dyDescent="0.2">
      <c r="A12" s="1" t="s">
        <v>29</v>
      </c>
      <c r="B12" s="2"/>
      <c r="C12" s="2"/>
      <c r="D12" s="2">
        <v>11.532999999999999</v>
      </c>
      <c r="E12" s="2">
        <v>3.931</v>
      </c>
      <c r="F12" s="2">
        <v>4.1500000000000004</v>
      </c>
      <c r="G12" s="2">
        <v>6.8970000000000002</v>
      </c>
      <c r="H12" s="2">
        <v>5.8310000000000004</v>
      </c>
      <c r="I12" s="2">
        <v>13.13</v>
      </c>
      <c r="J12" s="2">
        <v>15.388999999999999</v>
      </c>
      <c r="K12" s="2">
        <v>26.28</v>
      </c>
      <c r="L12" s="2"/>
      <c r="M12" s="2"/>
      <c r="P12" s="2"/>
      <c r="Q12" s="2">
        <v>22.626999999999999</v>
      </c>
      <c r="R12" s="2">
        <v>30.007999999999999</v>
      </c>
      <c r="S12" s="2">
        <f>+S5*0.047</f>
        <v>36.388062699999999</v>
      </c>
      <c r="T12" s="2">
        <f t="shared" ref="T12:Y12" si="17">+T5*0.047</f>
        <v>40.02686897000001</v>
      </c>
      <c r="U12" s="2">
        <f t="shared" si="17"/>
        <v>44.029555867000013</v>
      </c>
      <c r="V12" s="2">
        <f t="shared" si="17"/>
        <v>48.432511453700016</v>
      </c>
      <c r="W12" s="2">
        <f t="shared" si="17"/>
        <v>53.275762599070028</v>
      </c>
      <c r="X12" s="2">
        <f t="shared" si="17"/>
        <v>58.603338858977025</v>
      </c>
      <c r="Y12" s="2">
        <f t="shared" si="17"/>
        <v>64.463672744874742</v>
      </c>
      <c r="AA12" s="13"/>
      <c r="AB12" s="13"/>
      <c r="AC12" s="13"/>
    </row>
    <row r="13" spans="1:29" x14ac:dyDescent="0.2">
      <c r="A13" s="1" t="s">
        <v>30</v>
      </c>
      <c r="B13" s="2"/>
      <c r="C13" s="2"/>
      <c r="D13" s="2">
        <v>0</v>
      </c>
      <c r="E13" s="2">
        <v>1.4259999999999999</v>
      </c>
      <c r="F13" s="2">
        <v>0.67200000000000004</v>
      </c>
      <c r="G13" s="2">
        <v>0.53200000000000003</v>
      </c>
      <c r="H13" s="2">
        <v>0.377</v>
      </c>
      <c r="I13" s="2">
        <v>2.3439999999999999</v>
      </c>
      <c r="J13" s="2">
        <v>1.756</v>
      </c>
      <c r="K13" s="2">
        <v>3.097</v>
      </c>
      <c r="L13" s="2"/>
      <c r="M13" s="2"/>
      <c r="P13" s="2"/>
      <c r="Q13" s="2">
        <v>1.4259999999999999</v>
      </c>
      <c r="R13" s="2">
        <v>3.9249999999999998</v>
      </c>
      <c r="S13" s="2">
        <f>+S5*0.01</f>
        <v>7.7421410000000002</v>
      </c>
      <c r="T13" s="2">
        <f t="shared" ref="T13:Y13" si="18">+T5*0.01</f>
        <v>8.516355100000002</v>
      </c>
      <c r="U13" s="2">
        <f t="shared" si="18"/>
        <v>9.3679906100000032</v>
      </c>
      <c r="V13" s="2">
        <f t="shared" si="18"/>
        <v>10.304789671000004</v>
      </c>
      <c r="W13" s="2">
        <f t="shared" si="18"/>
        <v>11.335268638100006</v>
      </c>
      <c r="X13" s="2">
        <f t="shared" si="18"/>
        <v>12.468795501910007</v>
      </c>
      <c r="Y13" s="2">
        <f t="shared" si="18"/>
        <v>13.715675052101007</v>
      </c>
      <c r="AA13" s="13"/>
      <c r="AB13" s="13"/>
      <c r="AC13" s="13"/>
    </row>
    <row r="14" spans="1:29" x14ac:dyDescent="0.2">
      <c r="A14" s="1" t="s">
        <v>31</v>
      </c>
      <c r="B14" s="2"/>
      <c r="C14" s="2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3.2360000000000002</v>
      </c>
      <c r="J14" s="2">
        <v>6.0000000000000001E-3</v>
      </c>
      <c r="K14" s="2">
        <v>0.16200000000000001</v>
      </c>
      <c r="L14" s="2"/>
      <c r="M14" s="2"/>
      <c r="P14" s="2"/>
      <c r="Q14" s="2">
        <v>0</v>
      </c>
      <c r="R14" s="2">
        <v>3.2360000000000002</v>
      </c>
      <c r="S14" s="2"/>
      <c r="T14" s="2"/>
      <c r="U14" s="2"/>
      <c r="V14" s="2"/>
      <c r="W14" s="2"/>
    </row>
    <row r="15" spans="1:29" x14ac:dyDescent="0.2">
      <c r="A15" s="1" t="s">
        <v>32</v>
      </c>
      <c r="B15" s="2">
        <f t="shared" ref="B15:J15" si="19">+SUM(B11:B14)</f>
        <v>0</v>
      </c>
      <c r="C15" s="2">
        <f t="shared" si="19"/>
        <v>0</v>
      </c>
      <c r="D15" s="2">
        <f t="shared" si="19"/>
        <v>18.300999999999998</v>
      </c>
      <c r="E15" s="2">
        <f t="shared" si="19"/>
        <v>11.613000000000001</v>
      </c>
      <c r="F15" s="2">
        <f t="shared" si="19"/>
        <v>11.718</v>
      </c>
      <c r="G15" s="2">
        <f t="shared" si="19"/>
        <v>16.964000000000002</v>
      </c>
      <c r="H15" s="2">
        <f t="shared" si="19"/>
        <v>17.158999999999999</v>
      </c>
      <c r="I15" s="2">
        <f t="shared" si="19"/>
        <v>32.713999999999999</v>
      </c>
      <c r="J15" s="2">
        <f t="shared" si="19"/>
        <v>31.731000000000002</v>
      </c>
      <c r="K15" s="2">
        <f>+SUM(K11:K14)</f>
        <v>48.999000000000002</v>
      </c>
      <c r="L15" s="2"/>
      <c r="M15" s="2"/>
      <c r="P15" s="2">
        <f t="shared" ref="P15:W15" si="20">+SUM(P11:P14)</f>
        <v>0</v>
      </c>
      <c r="Q15" s="2">
        <f t="shared" si="20"/>
        <v>48.091000000000001</v>
      </c>
      <c r="R15" s="2">
        <f t="shared" si="20"/>
        <v>78.555000000000007</v>
      </c>
      <c r="S15" s="2">
        <f t="shared" si="20"/>
        <v>90.583049700000004</v>
      </c>
      <c r="T15" s="2">
        <f t="shared" si="20"/>
        <v>99.641354670000027</v>
      </c>
      <c r="U15" s="2">
        <f t="shared" si="20"/>
        <v>109.60549013700003</v>
      </c>
      <c r="V15" s="2">
        <f t="shared" si="20"/>
        <v>120.56603915070005</v>
      </c>
      <c r="W15" s="2">
        <f t="shared" si="20"/>
        <v>132.62264306577009</v>
      </c>
      <c r="X15" s="2">
        <f t="shared" ref="X15:Y15" si="21">+SUM(X11:X14)</f>
        <v>145.88490737234707</v>
      </c>
      <c r="Y15" s="2">
        <f t="shared" si="21"/>
        <v>160.47339810958181</v>
      </c>
    </row>
    <row r="16" spans="1:29" x14ac:dyDescent="0.2">
      <c r="A16" s="3" t="s">
        <v>33</v>
      </c>
      <c r="B16" s="4">
        <f t="shared" ref="B16:J16" si="22">+B10-B15</f>
        <v>0</v>
      </c>
      <c r="C16" s="4">
        <f t="shared" si="22"/>
        <v>0</v>
      </c>
      <c r="D16" s="4">
        <f t="shared" si="22"/>
        <v>4.2480000000000011</v>
      </c>
      <c r="E16" s="4">
        <f t="shared" si="22"/>
        <v>15.060999999999998</v>
      </c>
      <c r="F16" s="4">
        <f t="shared" si="22"/>
        <v>17.855999999999987</v>
      </c>
      <c r="G16" s="4">
        <f t="shared" si="22"/>
        <v>23.400000000000009</v>
      </c>
      <c r="H16" s="4">
        <f t="shared" si="22"/>
        <v>31.698999999999998</v>
      </c>
      <c r="I16" s="4">
        <f t="shared" si="22"/>
        <v>37.123000000000019</v>
      </c>
      <c r="J16" s="4">
        <f t="shared" si="22"/>
        <v>34.817</v>
      </c>
      <c r="K16" s="4">
        <f>+K10-K15</f>
        <v>27.448</v>
      </c>
      <c r="L16" s="2"/>
      <c r="M16" s="2"/>
      <c r="P16" s="4">
        <f t="shared" ref="P16:W16" si="23">+P10-P15</f>
        <v>0</v>
      </c>
      <c r="Q16" s="4">
        <f t="shared" si="23"/>
        <v>35.022999999999946</v>
      </c>
      <c r="R16" s="4">
        <f t="shared" si="23"/>
        <v>110.07799999999997</v>
      </c>
      <c r="S16" s="4">
        <f t="shared" si="23"/>
        <v>117.57991630000004</v>
      </c>
      <c r="T16" s="4">
        <f t="shared" si="23"/>
        <v>129.33790793000006</v>
      </c>
      <c r="U16" s="4">
        <f t="shared" si="23"/>
        <v>142.27169872300007</v>
      </c>
      <c r="V16" s="4">
        <f t="shared" si="23"/>
        <v>156.49886859530008</v>
      </c>
      <c r="W16" s="4">
        <f t="shared" si="23"/>
        <v>172.14875545483005</v>
      </c>
      <c r="X16" s="4">
        <f t="shared" ref="X16:Y16" si="24">+X10-X15</f>
        <v>189.36363100031315</v>
      </c>
      <c r="Y16" s="4">
        <f t="shared" si="24"/>
        <v>208.29999410034446</v>
      </c>
    </row>
    <row r="17" spans="1:62" x14ac:dyDescent="0.2">
      <c r="A17" s="1" t="s">
        <v>34</v>
      </c>
      <c r="B17" s="2"/>
      <c r="C17" s="2"/>
      <c r="D17" s="2">
        <f>-0.139+0.094</f>
        <v>-4.5000000000000012E-2</v>
      </c>
      <c r="E17" s="2">
        <f>-0.129+0.254</f>
        <v>0.125</v>
      </c>
      <c r="F17" s="2">
        <f>-0.113+0.59</f>
        <v>0.47699999999999998</v>
      </c>
      <c r="G17" s="2">
        <f>-0.804+0.484</f>
        <v>-0.32000000000000006</v>
      </c>
      <c r="H17" s="2">
        <f>-0.215+0.937</f>
        <v>0.72200000000000009</v>
      </c>
      <c r="I17" s="2">
        <f>-0.108+1.293</f>
        <v>1.1849999999999998</v>
      </c>
      <c r="J17" s="2">
        <f>-0.081+1.609</f>
        <v>1.528</v>
      </c>
      <c r="K17" s="2">
        <f>-0.059+2.244</f>
        <v>2.1850000000000001</v>
      </c>
      <c r="L17" s="2"/>
      <c r="M17" s="2"/>
      <c r="P17" s="2"/>
      <c r="Q17" s="2">
        <f>-0.568+0.472</f>
        <v>-9.5999999999999974E-2</v>
      </c>
      <c r="R17" s="2">
        <f>-1.24+3.304</f>
        <v>2.0640000000000001</v>
      </c>
      <c r="S17" s="2">
        <f>+R17*1.03</f>
        <v>2.1259200000000003</v>
      </c>
      <c r="T17" s="2">
        <f t="shared" ref="T17:Y17" si="25">+S17*1.03</f>
        <v>2.1896976000000001</v>
      </c>
      <c r="U17" s="2">
        <f t="shared" si="25"/>
        <v>2.2553885280000001</v>
      </c>
      <c r="V17" s="2">
        <f t="shared" si="25"/>
        <v>2.3230501838400004</v>
      </c>
      <c r="W17" s="2">
        <f t="shared" si="25"/>
        <v>2.3927416893552005</v>
      </c>
      <c r="X17" s="2">
        <f t="shared" si="25"/>
        <v>2.4645239400358565</v>
      </c>
      <c r="Y17" s="2">
        <f t="shared" si="25"/>
        <v>2.5384596582369321</v>
      </c>
    </row>
    <row r="18" spans="1:62" x14ac:dyDescent="0.2">
      <c r="A18" s="1" t="s">
        <v>35</v>
      </c>
      <c r="B18" s="2"/>
      <c r="C18" s="2"/>
      <c r="D18" s="2">
        <v>-1.538</v>
      </c>
      <c r="E18" s="2">
        <v>-1.054</v>
      </c>
      <c r="F18" s="2">
        <v>1.385</v>
      </c>
      <c r="G18" s="2">
        <v>-0.81499999999999995</v>
      </c>
      <c r="H18" s="2">
        <v>-2.7229999999999999</v>
      </c>
      <c r="I18" s="2">
        <v>4.2389999999999999</v>
      </c>
      <c r="J18" s="2">
        <v>-2.7090000000000001</v>
      </c>
      <c r="K18" s="2">
        <v>-1.107</v>
      </c>
      <c r="L18" s="2"/>
      <c r="M18" s="2"/>
      <c r="P18" s="2"/>
      <c r="Q18" s="2">
        <v>-4.8540000000000001</v>
      </c>
      <c r="R18" s="2">
        <v>2.0859999999999999</v>
      </c>
      <c r="S18" s="2"/>
      <c r="T18" s="2"/>
      <c r="U18" s="2"/>
      <c r="V18" s="2"/>
      <c r="W18" s="2"/>
    </row>
    <row r="19" spans="1:62" x14ac:dyDescent="0.2">
      <c r="A19" s="1" t="s">
        <v>36</v>
      </c>
      <c r="B19" s="2"/>
      <c r="C19" s="2"/>
      <c r="D19" s="2">
        <v>0</v>
      </c>
      <c r="E19" s="2">
        <v>1.085</v>
      </c>
      <c r="F19" s="2">
        <v>0</v>
      </c>
      <c r="G19" s="2">
        <v>0.39500000000000002</v>
      </c>
      <c r="H19" s="2">
        <v>7.8E-2</v>
      </c>
      <c r="I19" s="2">
        <v>0.438</v>
      </c>
      <c r="J19" s="2">
        <v>6.0000000000000001E-3</v>
      </c>
      <c r="K19" s="2">
        <v>2E-3</v>
      </c>
      <c r="L19" s="2"/>
      <c r="M19" s="2"/>
      <c r="P19" s="2"/>
      <c r="Q19" s="2">
        <v>1.085</v>
      </c>
      <c r="R19" s="2">
        <v>0.91100000000000003</v>
      </c>
      <c r="S19" s="2"/>
      <c r="T19" s="2"/>
      <c r="U19" s="2"/>
      <c r="V19" s="2"/>
      <c r="W19" s="2"/>
    </row>
    <row r="20" spans="1:62" x14ac:dyDescent="0.2">
      <c r="A20" s="1" t="s">
        <v>37</v>
      </c>
      <c r="B20" s="2"/>
      <c r="C20" s="2"/>
      <c r="D20" s="2">
        <v>-3.4000000000000002E-2</v>
      </c>
      <c r="E20" s="2">
        <v>-0.39600000000000002</v>
      </c>
      <c r="F20" s="2">
        <v>-2.1000000000000001E-2</v>
      </c>
      <c r="G20" s="2">
        <v>-1E-3</v>
      </c>
      <c r="H20" s="2">
        <v>1.4999999999999999E-2</v>
      </c>
      <c r="I20" s="2">
        <v>-0.13700000000000001</v>
      </c>
      <c r="J20" s="2">
        <v>-0.32200000000000001</v>
      </c>
      <c r="K20" s="2">
        <v>0.50600000000000001</v>
      </c>
      <c r="L20" s="2"/>
      <c r="M20" s="2"/>
      <c r="P20" s="2"/>
      <c r="Q20" s="2">
        <v>6.0000000000000001E-3</v>
      </c>
      <c r="R20" s="2">
        <v>-0.14399999999999999</v>
      </c>
      <c r="S20" s="2"/>
      <c r="T20" s="2"/>
      <c r="U20" s="2"/>
      <c r="V20" s="2"/>
      <c r="W20" s="2"/>
    </row>
    <row r="21" spans="1:62" x14ac:dyDescent="0.2">
      <c r="A21" s="1" t="s">
        <v>38</v>
      </c>
      <c r="B21" s="2">
        <f t="shared" ref="B21:J21" si="26">+B16+B17+B18+B19+B20</f>
        <v>0</v>
      </c>
      <c r="C21" s="2">
        <f t="shared" si="26"/>
        <v>0</v>
      </c>
      <c r="D21" s="2">
        <f t="shared" si="26"/>
        <v>2.6310000000000011</v>
      </c>
      <c r="E21" s="2">
        <f t="shared" si="26"/>
        <v>14.820999999999998</v>
      </c>
      <c r="F21" s="2">
        <f t="shared" si="26"/>
        <v>19.696999999999989</v>
      </c>
      <c r="G21" s="2">
        <f t="shared" si="26"/>
        <v>22.659000000000006</v>
      </c>
      <c r="H21" s="2">
        <f t="shared" si="26"/>
        <v>29.791</v>
      </c>
      <c r="I21" s="2">
        <f t="shared" si="26"/>
        <v>42.84800000000002</v>
      </c>
      <c r="J21" s="2">
        <f t="shared" si="26"/>
        <v>33.319999999999993</v>
      </c>
      <c r="K21" s="2">
        <f>+K16+K17+K18+K19+K20</f>
        <v>29.033999999999999</v>
      </c>
      <c r="L21" s="2"/>
      <c r="M21" s="2"/>
      <c r="P21" s="2">
        <f t="shared" ref="P21:Y21" si="27">+P16+P17+P18+P19+P20</f>
        <v>0</v>
      </c>
      <c r="Q21" s="2">
        <f t="shared" si="27"/>
        <v>31.163999999999952</v>
      </c>
      <c r="R21" s="2">
        <f t="shared" si="27"/>
        <v>114.99499999999996</v>
      </c>
      <c r="S21" s="2">
        <f t="shared" si="27"/>
        <v>119.70583630000003</v>
      </c>
      <c r="T21" s="2">
        <f t="shared" si="27"/>
        <v>131.52760553000005</v>
      </c>
      <c r="U21" s="2">
        <f t="shared" si="27"/>
        <v>144.52708725100007</v>
      </c>
      <c r="V21" s="2">
        <f t="shared" si="27"/>
        <v>158.82191877914008</v>
      </c>
      <c r="W21" s="2">
        <f t="shared" si="27"/>
        <v>174.54149714418526</v>
      </c>
      <c r="X21" s="2">
        <f t="shared" si="27"/>
        <v>191.82815494034901</v>
      </c>
      <c r="Y21" s="2">
        <f t="shared" si="27"/>
        <v>210.83845375858141</v>
      </c>
    </row>
    <row r="22" spans="1:62" x14ac:dyDescent="0.2">
      <c r="A22" s="1" t="s">
        <v>39</v>
      </c>
      <c r="B22" s="2"/>
      <c r="C22" s="2"/>
      <c r="D22" s="2">
        <v>1.974</v>
      </c>
      <c r="E22" s="2">
        <v>2.375</v>
      </c>
      <c r="F22" s="2">
        <v>3.7559999999999998</v>
      </c>
      <c r="G22" s="2">
        <v>4.2690000000000001</v>
      </c>
      <c r="H22" s="2">
        <v>5.5890000000000004</v>
      </c>
      <c r="I22" s="2">
        <v>7.2729999999999997</v>
      </c>
      <c r="J22" s="2">
        <v>6.125</v>
      </c>
      <c r="K22" s="2">
        <v>2.0649999999999999</v>
      </c>
      <c r="L22" s="2"/>
      <c r="M22" s="2"/>
      <c r="P22" s="2"/>
      <c r="Q22" s="2">
        <v>7.1920000000000002</v>
      </c>
      <c r="R22" s="2">
        <v>20.887</v>
      </c>
      <c r="S22" s="2">
        <f>+S21*0.21</f>
        <v>25.138225623000004</v>
      </c>
      <c r="T22" s="2">
        <f t="shared" ref="T22:Y22" si="28">+T21*0.21</f>
        <v>27.620797161300008</v>
      </c>
      <c r="U22" s="2">
        <f t="shared" si="28"/>
        <v>30.350688322710013</v>
      </c>
      <c r="V22" s="2">
        <f t="shared" si="28"/>
        <v>33.352602943619416</v>
      </c>
      <c r="W22" s="2">
        <f t="shared" si="28"/>
        <v>36.653714400278901</v>
      </c>
      <c r="X22" s="2">
        <f t="shared" si="28"/>
        <v>40.283912537473292</v>
      </c>
      <c r="Y22" s="2">
        <f t="shared" si="28"/>
        <v>44.276075289302092</v>
      </c>
    </row>
    <row r="23" spans="1:62" x14ac:dyDescent="0.2">
      <c r="A23" s="1" t="s">
        <v>40</v>
      </c>
      <c r="B23" s="2">
        <f t="shared" ref="B23:J23" si="29">+B21-B22</f>
        <v>0</v>
      </c>
      <c r="C23" s="2">
        <f t="shared" si="29"/>
        <v>0</v>
      </c>
      <c r="D23" s="2">
        <f t="shared" si="29"/>
        <v>0.65700000000000114</v>
      </c>
      <c r="E23" s="2">
        <f t="shared" si="29"/>
        <v>12.445999999999998</v>
      </c>
      <c r="F23" s="2">
        <f t="shared" si="29"/>
        <v>15.940999999999988</v>
      </c>
      <c r="G23" s="2">
        <f t="shared" si="29"/>
        <v>18.390000000000008</v>
      </c>
      <c r="H23" s="2">
        <f t="shared" si="29"/>
        <v>24.201999999999998</v>
      </c>
      <c r="I23" s="2">
        <f t="shared" si="29"/>
        <v>35.575000000000017</v>
      </c>
      <c r="J23" s="2">
        <f t="shared" si="29"/>
        <v>27.194999999999993</v>
      </c>
      <c r="K23" s="2">
        <f>+K21-K22</f>
        <v>26.968999999999998</v>
      </c>
      <c r="L23" s="2"/>
      <c r="M23" s="2"/>
      <c r="P23" s="2">
        <f t="shared" ref="P23:Y23" si="30">+P21-P22</f>
        <v>0</v>
      </c>
      <c r="Q23" s="2">
        <f t="shared" si="30"/>
        <v>23.971999999999952</v>
      </c>
      <c r="R23" s="2">
        <f t="shared" si="30"/>
        <v>94.107999999999961</v>
      </c>
      <c r="S23" s="2">
        <f t="shared" si="30"/>
        <v>94.567610677000033</v>
      </c>
      <c r="T23" s="2">
        <f t="shared" si="30"/>
        <v>103.90680836870004</v>
      </c>
      <c r="U23" s="2">
        <f t="shared" si="30"/>
        <v>114.17639892829006</v>
      </c>
      <c r="V23" s="2">
        <f t="shared" si="30"/>
        <v>125.46931583552066</v>
      </c>
      <c r="W23" s="2">
        <f t="shared" si="30"/>
        <v>137.88778274390637</v>
      </c>
      <c r="X23" s="2">
        <f t="shared" si="30"/>
        <v>151.54424240287571</v>
      </c>
      <c r="Y23" s="2">
        <f t="shared" si="30"/>
        <v>166.56237846927931</v>
      </c>
      <c r="Z23" s="2">
        <f>+Y23*(1+$AB$3)</f>
        <v>169.89362603866491</v>
      </c>
      <c r="AA23" s="2">
        <f t="shared" ref="AA23:BJ23" si="31">+Z23*(1+$AB$3)</f>
        <v>173.2914985594382</v>
      </c>
      <c r="AB23" s="2">
        <f t="shared" si="31"/>
        <v>176.75732853062695</v>
      </c>
      <c r="AC23" s="2">
        <f t="shared" si="31"/>
        <v>180.29247510123949</v>
      </c>
      <c r="AD23" s="2">
        <f t="shared" si="31"/>
        <v>183.89832460326429</v>
      </c>
      <c r="AE23" s="2">
        <f t="shared" si="31"/>
        <v>187.57629109532957</v>
      </c>
      <c r="AF23" s="2">
        <f t="shared" si="31"/>
        <v>191.32781691723616</v>
      </c>
      <c r="AG23" s="2">
        <f t="shared" si="31"/>
        <v>195.15437325558088</v>
      </c>
      <c r="AH23" s="2">
        <f t="shared" si="31"/>
        <v>199.05746072069249</v>
      </c>
      <c r="AI23" s="2">
        <f t="shared" si="31"/>
        <v>203.03860993510634</v>
      </c>
      <c r="AJ23" s="2">
        <f t="shared" si="31"/>
        <v>207.09938213380846</v>
      </c>
      <c r="AK23" s="2">
        <f t="shared" si="31"/>
        <v>211.24136977648465</v>
      </c>
      <c r="AL23" s="2">
        <f t="shared" si="31"/>
        <v>215.46619717201435</v>
      </c>
      <c r="AM23" s="2">
        <f t="shared" si="31"/>
        <v>219.77552111545464</v>
      </c>
      <c r="AN23" s="2">
        <f t="shared" si="31"/>
        <v>224.17103153776372</v>
      </c>
      <c r="AO23" s="2">
        <f t="shared" si="31"/>
        <v>228.65445216851901</v>
      </c>
      <c r="AP23" s="2">
        <f t="shared" si="31"/>
        <v>233.22754121188939</v>
      </c>
      <c r="AQ23" s="2">
        <f t="shared" si="31"/>
        <v>237.89209203612717</v>
      </c>
      <c r="AR23" s="2">
        <f t="shared" si="31"/>
        <v>242.6499338768497</v>
      </c>
      <c r="AS23" s="2">
        <f t="shared" si="31"/>
        <v>247.50293255438669</v>
      </c>
      <c r="AT23" s="2">
        <f t="shared" si="31"/>
        <v>252.45299120547443</v>
      </c>
      <c r="AU23" s="2">
        <f t="shared" si="31"/>
        <v>257.50205102958392</v>
      </c>
      <c r="AV23" s="2">
        <f t="shared" si="31"/>
        <v>262.65209205017561</v>
      </c>
      <c r="AW23" s="2">
        <f t="shared" si="31"/>
        <v>267.9051338911791</v>
      </c>
      <c r="AX23" s="2">
        <f t="shared" si="31"/>
        <v>273.26323656900269</v>
      </c>
      <c r="AY23" s="2">
        <f t="shared" si="31"/>
        <v>278.72850130038273</v>
      </c>
      <c r="AZ23" s="2">
        <f t="shared" si="31"/>
        <v>284.30307132639041</v>
      </c>
      <c r="BA23" s="2">
        <f t="shared" si="31"/>
        <v>289.98913275291824</v>
      </c>
      <c r="BB23" s="2">
        <f t="shared" si="31"/>
        <v>295.78891540797662</v>
      </c>
      <c r="BC23" s="2">
        <f t="shared" si="31"/>
        <v>301.70469371613615</v>
      </c>
      <c r="BD23" s="2">
        <f t="shared" si="31"/>
        <v>307.73878759045886</v>
      </c>
      <c r="BE23" s="2">
        <f t="shared" si="31"/>
        <v>313.89356334226801</v>
      </c>
      <c r="BF23" s="2">
        <f t="shared" si="31"/>
        <v>320.17143460911336</v>
      </c>
      <c r="BG23" s="2">
        <f t="shared" si="31"/>
        <v>326.57486330129564</v>
      </c>
      <c r="BH23" s="2">
        <f t="shared" si="31"/>
        <v>333.10636056732153</v>
      </c>
      <c r="BI23" s="2">
        <f t="shared" si="31"/>
        <v>339.76848777866797</v>
      </c>
      <c r="BJ23" s="2">
        <f t="shared" si="31"/>
        <v>346.56385753424132</v>
      </c>
    </row>
    <row r="24" spans="1:62" x14ac:dyDescent="0.2">
      <c r="A24" s="1" t="s">
        <v>41</v>
      </c>
      <c r="B24" s="7"/>
      <c r="C24" s="7"/>
      <c r="D24" s="7">
        <v>27.74</v>
      </c>
      <c r="E24" s="7">
        <v>40.692</v>
      </c>
      <c r="F24" s="7">
        <v>40.716000000000001</v>
      </c>
      <c r="G24" s="7">
        <v>40.914904</v>
      </c>
      <c r="H24" s="7">
        <v>40.878</v>
      </c>
      <c r="I24" s="7">
        <v>40.901000000000003</v>
      </c>
      <c r="J24" s="7">
        <v>40.950000000000003</v>
      </c>
      <c r="K24" s="7">
        <v>41.407207</v>
      </c>
      <c r="L24" s="2"/>
      <c r="M24" s="2"/>
      <c r="P24" s="7"/>
      <c r="Q24" s="7">
        <v>24.411999999999999</v>
      </c>
      <c r="R24" s="7">
        <v>40.921999999999997</v>
      </c>
      <c r="S24" s="7"/>
      <c r="T24" s="7"/>
      <c r="U24" s="7"/>
      <c r="V24" s="7"/>
      <c r="W24" s="7"/>
    </row>
    <row r="25" spans="1:62" x14ac:dyDescent="0.2">
      <c r="A25" s="1" t="s">
        <v>42</v>
      </c>
      <c r="B25" s="5" t="e">
        <f t="shared" ref="B25:J25" si="32">+B23/B24</f>
        <v>#DIV/0!</v>
      </c>
      <c r="C25" s="5" t="e">
        <f t="shared" si="32"/>
        <v>#DIV/0!</v>
      </c>
      <c r="D25" s="5">
        <f t="shared" si="32"/>
        <v>2.3684210526315832E-2</v>
      </c>
      <c r="E25" s="5">
        <f t="shared" si="32"/>
        <v>0.30585864543399188</v>
      </c>
      <c r="F25" s="5">
        <f t="shared" si="32"/>
        <v>0.39151684841339984</v>
      </c>
      <c r="G25" s="5">
        <f t="shared" si="32"/>
        <v>0.44946946472121768</v>
      </c>
      <c r="H25" s="5">
        <f t="shared" si="32"/>
        <v>0.59205440579284696</v>
      </c>
      <c r="I25" s="5">
        <f t="shared" si="32"/>
        <v>0.86978313488667791</v>
      </c>
      <c r="J25" s="5">
        <f t="shared" si="32"/>
        <v>0.66410256410256385</v>
      </c>
      <c r="K25" s="5">
        <f>+K23/K24</f>
        <v>0.65131173904098383</v>
      </c>
      <c r="L25" s="2"/>
      <c r="M25" s="2"/>
      <c r="P25" s="5" t="e">
        <f t="shared" ref="P25:Y25" si="33">+P23/P24</f>
        <v>#DIV/0!</v>
      </c>
      <c r="Q25" s="5">
        <f t="shared" si="33"/>
        <v>0.9819760773390116</v>
      </c>
      <c r="R25" s="5">
        <f t="shared" si="33"/>
        <v>2.2996920971604506</v>
      </c>
      <c r="S25" s="5" t="e">
        <f t="shared" si="33"/>
        <v>#DIV/0!</v>
      </c>
      <c r="T25" s="5" t="e">
        <f t="shared" si="33"/>
        <v>#DIV/0!</v>
      </c>
      <c r="U25" s="5" t="e">
        <f t="shared" si="33"/>
        <v>#DIV/0!</v>
      </c>
      <c r="V25" s="5" t="e">
        <f t="shared" si="33"/>
        <v>#DIV/0!</v>
      </c>
      <c r="W25" s="5" t="e">
        <f t="shared" si="33"/>
        <v>#DIV/0!</v>
      </c>
      <c r="X25" s="5" t="e">
        <f t="shared" si="33"/>
        <v>#DIV/0!</v>
      </c>
      <c r="Y25" s="5" t="e">
        <f t="shared" si="33"/>
        <v>#DIV/0!</v>
      </c>
    </row>
    <row r="26" spans="1:6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P26" s="2"/>
      <c r="Q26" s="2"/>
      <c r="R26" s="2"/>
      <c r="S26" s="2"/>
      <c r="T26" s="2"/>
      <c r="U26" s="2"/>
      <c r="V26" s="2"/>
      <c r="W26" s="2"/>
    </row>
    <row r="27" spans="1:62" x14ac:dyDescent="0.2">
      <c r="A27" s="1" t="s">
        <v>43</v>
      </c>
      <c r="B27" s="2"/>
      <c r="C27" s="2"/>
      <c r="D27" s="2"/>
      <c r="E27" s="2"/>
      <c r="F27" s="2"/>
      <c r="G27" s="6" t="e">
        <f t="shared" ref="G27:G28" si="34">+G2/C2-1</f>
        <v>#DIV/0!</v>
      </c>
      <c r="H27" s="6">
        <f t="shared" ref="H27:J28" si="35">+H2/D2-1</f>
        <v>0.27039834147786168</v>
      </c>
      <c r="I27" s="6">
        <f t="shared" si="35"/>
        <v>0.9223155618398069</v>
      </c>
      <c r="J27" s="6">
        <f t="shared" si="35"/>
        <v>0.92087417369500835</v>
      </c>
      <c r="K27" s="6">
        <f>+K2/G2-1</f>
        <v>0.97278062757059014</v>
      </c>
      <c r="L27" s="2"/>
      <c r="M27" s="2"/>
      <c r="P27" s="6" t="e">
        <f>+P2/L2-1</f>
        <v>#DIV/0!</v>
      </c>
      <c r="Q27" s="6" t="e">
        <f t="shared" ref="Q27" si="36">+Q2/P2-1</f>
        <v>#DIV/0!</v>
      </c>
      <c r="R27" s="6">
        <f>+R2/Q2-1</f>
        <v>0.4163893392496516</v>
      </c>
      <c r="S27" s="6">
        <f t="shared" ref="S27:Y28" si="37">+S2/R2-1</f>
        <v>0.10000000000000009</v>
      </c>
      <c r="T27" s="6">
        <f t="shared" si="37"/>
        <v>0.10000000000000009</v>
      </c>
      <c r="U27" s="6">
        <f t="shared" si="37"/>
        <v>0.10000000000000009</v>
      </c>
      <c r="V27" s="6">
        <f t="shared" si="37"/>
        <v>0.10000000000000009</v>
      </c>
      <c r="W27" s="6">
        <f t="shared" si="37"/>
        <v>0.10000000000000009</v>
      </c>
      <c r="X27" s="6">
        <f t="shared" si="37"/>
        <v>0.10000000000000009</v>
      </c>
      <c r="Y27" s="6">
        <f t="shared" si="37"/>
        <v>0.10000000000000009</v>
      </c>
    </row>
    <row r="28" spans="1:62" x14ac:dyDescent="0.2">
      <c r="A28" s="1" t="s">
        <v>44</v>
      </c>
      <c r="B28" s="2"/>
      <c r="C28" s="2"/>
      <c r="D28" s="2"/>
      <c r="E28" s="2"/>
      <c r="F28" s="2"/>
      <c r="G28" s="6" t="e">
        <f t="shared" si="34"/>
        <v>#DIV/0!</v>
      </c>
      <c r="H28" s="6">
        <f t="shared" si="35"/>
        <v>0.44825102880658418</v>
      </c>
      <c r="I28" s="6">
        <f t="shared" si="35"/>
        <v>0.9590216116602448</v>
      </c>
      <c r="J28" s="6">
        <f t="shared" si="35"/>
        <v>0.98122997594416472</v>
      </c>
      <c r="K28" s="6">
        <f t="shared" ref="K28" si="38">+K3/G3-1</f>
        <v>1.0526617630994428</v>
      </c>
      <c r="L28" s="2"/>
      <c r="M28" s="2"/>
      <c r="P28" s="6" t="e">
        <f t="shared" ref="P28:W28" si="39">+P3/L3-1</f>
        <v>#DIV/0!</v>
      </c>
      <c r="Q28" s="6" t="e">
        <f t="shared" ref="Q28:R28" si="40">+Q3/P3-1</f>
        <v>#DIV/0!</v>
      </c>
      <c r="R28" s="6">
        <f t="shared" si="40"/>
        <v>0.44414682795191207</v>
      </c>
      <c r="S28" s="6">
        <f t="shared" si="37"/>
        <v>0.10000000000000009</v>
      </c>
      <c r="T28" s="6">
        <f t="shared" si="37"/>
        <v>0.10000000000000009</v>
      </c>
      <c r="U28" s="6">
        <f t="shared" si="37"/>
        <v>0.10000000000000009</v>
      </c>
      <c r="V28" s="6">
        <f t="shared" si="37"/>
        <v>0.10000000000000009</v>
      </c>
      <c r="W28" s="6">
        <f t="shared" si="37"/>
        <v>0.10000000000000009</v>
      </c>
      <c r="X28" s="6">
        <f t="shared" si="37"/>
        <v>0.10000000000000009</v>
      </c>
      <c r="Y28" s="6">
        <f t="shared" si="37"/>
        <v>0.10000000000000009</v>
      </c>
    </row>
    <row r="29" spans="1:62" x14ac:dyDescent="0.2">
      <c r="A29" s="1" t="s">
        <v>45</v>
      </c>
      <c r="B29" s="2"/>
      <c r="C29" s="2"/>
      <c r="D29" s="2"/>
      <c r="E29" s="2"/>
      <c r="F29" s="2"/>
      <c r="G29" s="6" t="e">
        <f t="shared" ref="G29" si="41">+G5/C5-1</f>
        <v>#DIV/0!</v>
      </c>
      <c r="H29" s="6">
        <f t="shared" ref="H29:J29" si="42">+H5/D5-1</f>
        <v>0.39195143674119914</v>
      </c>
      <c r="I29" s="6">
        <f t="shared" si="42"/>
        <v>0.94848094009744943</v>
      </c>
      <c r="J29" s="6">
        <f t="shared" si="42"/>
        <v>0.96465488235248098</v>
      </c>
      <c r="K29" s="6">
        <f>+K5/G5-1</f>
        <v>1.0300855482269968</v>
      </c>
      <c r="L29" s="2"/>
      <c r="M29" s="2"/>
      <c r="P29" s="6" t="e">
        <f>+P5/L5-1</f>
        <v>#DIV/0!</v>
      </c>
      <c r="Q29" s="6" t="e">
        <f>+Q5/M5-1</f>
        <v>#DIV/0!</v>
      </c>
      <c r="R29" s="6">
        <f>+R5/Q5-1</f>
        <v>0.43618169612158253</v>
      </c>
      <c r="S29" s="6">
        <f t="shared" ref="S29:Y29" si="43">+S5/R5-1</f>
        <v>0.10000000000000009</v>
      </c>
      <c r="T29" s="6">
        <f t="shared" si="43"/>
        <v>0.10000000000000009</v>
      </c>
      <c r="U29" s="6">
        <f t="shared" si="43"/>
        <v>0.10000000000000009</v>
      </c>
      <c r="V29" s="6">
        <f t="shared" si="43"/>
        <v>0.10000000000000009</v>
      </c>
      <c r="W29" s="6">
        <f t="shared" si="43"/>
        <v>0.10000000000000031</v>
      </c>
      <c r="X29" s="6">
        <f t="shared" si="43"/>
        <v>9.9999999999999867E-2</v>
      </c>
      <c r="Y29" s="6">
        <f t="shared" si="43"/>
        <v>0.10000000000000009</v>
      </c>
    </row>
    <row r="30" spans="1:6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P30" s="2"/>
      <c r="Q30" s="2"/>
      <c r="R30" s="2"/>
      <c r="S30" s="2"/>
      <c r="T30" s="2"/>
      <c r="U30" s="2"/>
      <c r="V30" s="2"/>
      <c r="W30" s="2"/>
    </row>
    <row r="31" spans="1:62" x14ac:dyDescent="0.2">
      <c r="A31" s="1" t="s">
        <v>46</v>
      </c>
      <c r="B31" s="6"/>
      <c r="C31" s="6"/>
      <c r="D31" s="6">
        <f t="shared" ref="D31:K31" si="44">+D8/D2</f>
        <v>0.19467890813959224</v>
      </c>
      <c r="E31" s="6">
        <f t="shared" si="44"/>
        <v>0.17028473204136524</v>
      </c>
      <c r="F31" s="6">
        <f t="shared" si="44"/>
        <v>0.18033394118987911</v>
      </c>
      <c r="G31" s="6">
        <f t="shared" si="44"/>
        <v>0.19631221405795099</v>
      </c>
      <c r="H31" s="6">
        <f t="shared" si="44"/>
        <v>0.21562342153320119</v>
      </c>
      <c r="I31" s="6">
        <f t="shared" si="44"/>
        <v>0.17371928002769127</v>
      </c>
      <c r="J31" s="6">
        <f t="shared" si="44"/>
        <v>0.19259808647927032</v>
      </c>
      <c r="K31" s="6">
        <f t="shared" si="44"/>
        <v>0.13279767621635544</v>
      </c>
      <c r="L31" s="2"/>
      <c r="M31" s="2"/>
      <c r="P31" s="6" t="e">
        <f t="shared" ref="P31:W31" si="45">+P8/P2</f>
        <v>#DIV/0!</v>
      </c>
      <c r="Q31" s="6">
        <f t="shared" si="45"/>
        <v>0.14595955286287216</v>
      </c>
      <c r="R31" s="6">
        <f t="shared" si="45"/>
        <v>0.19062274078239214</v>
      </c>
      <c r="S31" s="6">
        <f t="shared" ref="S31:Y31" si="46">+S8/S2</f>
        <v>0.19</v>
      </c>
      <c r="T31" s="6">
        <f t="shared" si="46"/>
        <v>0.19</v>
      </c>
      <c r="U31" s="6">
        <f t="shared" si="46"/>
        <v>0.18999999999999992</v>
      </c>
      <c r="V31" s="6">
        <f t="shared" si="46"/>
        <v>0.18999999999999992</v>
      </c>
      <c r="W31" s="6">
        <f t="shared" si="46"/>
        <v>0.18999999999999995</v>
      </c>
      <c r="X31" s="6">
        <f t="shared" si="46"/>
        <v>0.18999999999999995</v>
      </c>
      <c r="Y31" s="6">
        <f t="shared" si="46"/>
        <v>0.19</v>
      </c>
    </row>
    <row r="32" spans="1:62" x14ac:dyDescent="0.2">
      <c r="A32" s="1" t="s">
        <v>47</v>
      </c>
      <c r="B32" s="6"/>
      <c r="C32" s="6"/>
      <c r="D32" s="6">
        <f t="shared" ref="D32:E32" si="47">+D9/D3</f>
        <v>0.1675925925925926</v>
      </c>
      <c r="E32" s="6">
        <f t="shared" si="47"/>
        <v>0.22931814374267043</v>
      </c>
      <c r="F32" s="6">
        <f t="shared" ref="F32" si="48">+F9/F3</f>
        <v>0.25075241906775536</v>
      </c>
      <c r="G32" s="6">
        <f t="shared" ref="G32:H32" si="49">+G9/G3</f>
        <v>0.29009940647416532</v>
      </c>
      <c r="H32" s="6">
        <f t="shared" si="49"/>
        <v>0.29803540842824783</v>
      </c>
      <c r="I32" s="6">
        <f t="shared" ref="I32" si="50">+I9/I3</f>
        <v>0.32948500863735103</v>
      </c>
      <c r="J32" s="6">
        <f t="shared" ref="J32:K32" si="51">+J9/J3</f>
        <v>0.29164443379686594</v>
      </c>
      <c r="K32" s="6">
        <f t="shared" si="51"/>
        <v>0.2887457924776819</v>
      </c>
      <c r="L32" s="2"/>
      <c r="M32" s="2"/>
      <c r="P32" s="6" t="e">
        <f t="shared" ref="P32:W32" si="52">+P9/P3</f>
        <v>#DIV/0!</v>
      </c>
      <c r="Q32" s="6">
        <f t="shared" si="52"/>
        <v>0.17910789456363405</v>
      </c>
      <c r="R32" s="6">
        <f t="shared" si="52"/>
        <v>0.29855324613046347</v>
      </c>
      <c r="S32" s="6">
        <f t="shared" ref="S32:Y32" si="53">+S9/S3</f>
        <v>0.30000000000000004</v>
      </c>
      <c r="T32" s="6">
        <f t="shared" si="53"/>
        <v>0.30000000000000004</v>
      </c>
      <c r="U32" s="6">
        <f t="shared" si="53"/>
        <v>0.30000000000000004</v>
      </c>
      <c r="V32" s="6">
        <f t="shared" si="53"/>
        <v>0.30000000000000004</v>
      </c>
      <c r="W32" s="6">
        <f t="shared" si="53"/>
        <v>0.30000000000000004</v>
      </c>
      <c r="X32" s="6">
        <f t="shared" si="53"/>
        <v>0.30000000000000004</v>
      </c>
      <c r="Y32" s="6">
        <f t="shared" si="53"/>
        <v>0.30000000000000004</v>
      </c>
    </row>
    <row r="33" spans="1:25" x14ac:dyDescent="0.2">
      <c r="A33" s="1" t="s">
        <v>48</v>
      </c>
      <c r="B33" s="6"/>
      <c r="C33" s="6"/>
      <c r="D33" s="6">
        <f t="shared" ref="D33:K33" si="54">+D10/D5</f>
        <v>0.17616681510648602</v>
      </c>
      <c r="E33" s="6">
        <f t="shared" si="54"/>
        <v>0.21236584822139423</v>
      </c>
      <c r="F33" s="6">
        <f t="shared" si="54"/>
        <v>0.23141388295499885</v>
      </c>
      <c r="G33" s="6">
        <f t="shared" si="54"/>
        <v>0.26359302553386021</v>
      </c>
      <c r="H33" s="6">
        <f t="shared" si="54"/>
        <v>0.27422586674299954</v>
      </c>
      <c r="I33" s="6">
        <f t="shared" si="54"/>
        <v>0.2853552997707744</v>
      </c>
      <c r="J33" s="6">
        <f t="shared" si="54"/>
        <v>0.26505016389394487</v>
      </c>
      <c r="K33" s="6">
        <f t="shared" si="54"/>
        <v>0.24591545580585908</v>
      </c>
      <c r="L33" s="2"/>
      <c r="M33" s="2"/>
      <c r="P33" s="6" t="e">
        <f t="shared" ref="P33:W33" si="55">+P10/P5</f>
        <v>#DIV/0!</v>
      </c>
      <c r="Q33" s="6">
        <f t="shared" si="55"/>
        <v>0.16959583407302198</v>
      </c>
      <c r="R33" s="6">
        <f t="shared" si="55"/>
        <v>0.26800893964602296</v>
      </c>
      <c r="S33" s="6">
        <f t="shared" ref="S33:Y33" si="56">+S10/S5</f>
        <v>0.26887002703774066</v>
      </c>
      <c r="T33" s="6">
        <f t="shared" si="56"/>
        <v>0.26887002703774066</v>
      </c>
      <c r="U33" s="6">
        <f t="shared" si="56"/>
        <v>0.2688700270377406</v>
      </c>
      <c r="V33" s="6">
        <f t="shared" si="56"/>
        <v>0.26887002703774066</v>
      </c>
      <c r="W33" s="6">
        <f t="shared" si="56"/>
        <v>0.2688700270377406</v>
      </c>
      <c r="X33" s="6">
        <f t="shared" si="56"/>
        <v>0.26887002703774066</v>
      </c>
      <c r="Y33" s="6">
        <f t="shared" si="56"/>
        <v>0.26887002703774066</v>
      </c>
    </row>
    <row r="34" spans="1:25" x14ac:dyDescent="0.2">
      <c r="A34" s="1" t="s">
        <v>49</v>
      </c>
      <c r="B34" s="2"/>
      <c r="C34" s="2"/>
      <c r="D34" s="6">
        <f t="shared" ref="D34:K34" si="57">+D16/D5</f>
        <v>3.318801856279005E-2</v>
      </c>
      <c r="E34" s="6">
        <f t="shared" si="57"/>
        <v>0.11990860163689053</v>
      </c>
      <c r="F34" s="6">
        <f t="shared" si="57"/>
        <v>0.13972158970867851</v>
      </c>
      <c r="G34" s="6">
        <f t="shared" si="57"/>
        <v>0.15281133677267689</v>
      </c>
      <c r="H34" s="6">
        <f t="shared" si="57"/>
        <v>0.17791734720795657</v>
      </c>
      <c r="I34" s="6">
        <f t="shared" si="57"/>
        <v>0.15168527848261609</v>
      </c>
      <c r="J34" s="6">
        <f t="shared" si="57"/>
        <v>0.13867060702493658</v>
      </c>
      <c r="K34" s="6">
        <f t="shared" si="57"/>
        <v>8.8294994322330761E-2</v>
      </c>
      <c r="L34" s="2"/>
      <c r="M34" s="2"/>
      <c r="P34" s="6" t="e">
        <f t="shared" ref="P34:W34" si="58">+P16/P5</f>
        <v>#DIV/0!</v>
      </c>
      <c r="Q34" s="6">
        <f t="shared" si="58"/>
        <v>7.1465155048962184E-2</v>
      </c>
      <c r="R34" s="6">
        <f t="shared" si="58"/>
        <v>0.1563983399424009</v>
      </c>
      <c r="S34" s="6">
        <f t="shared" ref="S34:Y34" si="59">+S16/S5</f>
        <v>0.15187002703774063</v>
      </c>
      <c r="T34" s="6">
        <f t="shared" si="59"/>
        <v>0.15187002703774063</v>
      </c>
      <c r="U34" s="6">
        <f t="shared" si="59"/>
        <v>0.15187002703774063</v>
      </c>
      <c r="V34" s="6">
        <f t="shared" si="59"/>
        <v>0.15187002703774063</v>
      </c>
      <c r="W34" s="6">
        <f t="shared" si="59"/>
        <v>0.15187002703774055</v>
      </c>
      <c r="X34" s="6">
        <f t="shared" si="59"/>
        <v>0.15187002703774063</v>
      </c>
      <c r="Y34" s="6">
        <f t="shared" si="59"/>
        <v>0.15187002703774063</v>
      </c>
    </row>
    <row r="35" spans="1: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25" x14ac:dyDescent="0.2">
      <c r="A36" s="1" t="s">
        <v>40</v>
      </c>
      <c r="B36" s="2"/>
      <c r="C36" s="2"/>
      <c r="D36" s="2"/>
      <c r="E36" s="2"/>
      <c r="F36" s="2">
        <v>15.941000000000001</v>
      </c>
      <c r="G36" s="2">
        <f>34.331-F36</f>
        <v>18.39</v>
      </c>
      <c r="H36" s="2"/>
      <c r="I36" s="2"/>
      <c r="J36" s="2">
        <v>27.195</v>
      </c>
      <c r="K36" s="2">
        <f>54.164-J36</f>
        <v>26.969000000000001</v>
      </c>
      <c r="L36" s="2"/>
      <c r="M36" s="2"/>
      <c r="P36" s="2">
        <f>+P23</f>
        <v>0</v>
      </c>
      <c r="Q36" s="2">
        <f t="shared" ref="Q36:T36" si="60">+Q23</f>
        <v>23.971999999999952</v>
      </c>
      <c r="R36" s="2">
        <f t="shared" si="60"/>
        <v>94.107999999999961</v>
      </c>
      <c r="S36" s="2">
        <f t="shared" si="60"/>
        <v>94.567610677000033</v>
      </c>
      <c r="T36" s="2">
        <f t="shared" si="60"/>
        <v>103.90680836870004</v>
      </c>
    </row>
    <row r="37" spans="1:25" x14ac:dyDescent="0.2">
      <c r="A37" s="1" t="s">
        <v>50</v>
      </c>
      <c r="B37" s="2"/>
      <c r="C37" s="2"/>
      <c r="D37" s="2"/>
      <c r="E37" s="2"/>
      <c r="F37" s="2"/>
      <c r="G37" s="2">
        <f>0.003-F37</f>
        <v>3.0000000000000001E-3</v>
      </c>
      <c r="H37" s="2"/>
      <c r="I37" s="2"/>
      <c r="J37" s="2">
        <v>6.3E-2</v>
      </c>
      <c r="K37" s="2">
        <f>0.307-J37</f>
        <v>0.24399999999999999</v>
      </c>
      <c r="L37" s="2"/>
      <c r="M37" s="2"/>
      <c r="Q37" s="1">
        <v>8.5999999999999993E-2</v>
      </c>
      <c r="R37" s="1">
        <v>0.26300000000000001</v>
      </c>
    </row>
    <row r="38" spans="1:25" x14ac:dyDescent="0.2">
      <c r="A38" s="1" t="s">
        <v>51</v>
      </c>
      <c r="B38" s="2"/>
      <c r="C38" s="2"/>
      <c r="D38" s="2"/>
      <c r="E38" s="2"/>
      <c r="F38" s="2"/>
      <c r="G38" s="2">
        <f>1.305-F38</f>
        <v>1.3049999999999999</v>
      </c>
      <c r="H38" s="2"/>
      <c r="I38" s="2"/>
      <c r="J38" s="2">
        <v>0.30399999999999999</v>
      </c>
      <c r="K38" s="2">
        <f>0.791-J38</f>
        <v>0.48700000000000004</v>
      </c>
      <c r="L38" s="2"/>
      <c r="M38" s="2"/>
      <c r="Q38" s="1">
        <v>0.318</v>
      </c>
      <c r="R38" s="1">
        <v>0.67100000000000004</v>
      </c>
    </row>
    <row r="39" spans="1:25" x14ac:dyDescent="0.2">
      <c r="A39" s="1" t="s">
        <v>52</v>
      </c>
      <c r="B39" s="2"/>
      <c r="C39" s="2"/>
      <c r="D39" s="2"/>
      <c r="E39" s="2"/>
      <c r="F39" s="2"/>
      <c r="G39" s="2">
        <v>0</v>
      </c>
      <c r="H39" s="2"/>
      <c r="I39" s="2"/>
      <c r="J39" s="2"/>
      <c r="K39" s="2">
        <f>0.327-J39</f>
        <v>0.32700000000000001</v>
      </c>
      <c r="L39" s="2"/>
      <c r="M39" s="2"/>
      <c r="Q39" s="1">
        <v>0</v>
      </c>
      <c r="R39" s="1">
        <v>0</v>
      </c>
    </row>
    <row r="40" spans="1:25" x14ac:dyDescent="0.2">
      <c r="A40" s="1" t="s">
        <v>53</v>
      </c>
      <c r="B40" s="2"/>
      <c r="C40" s="2"/>
      <c r="D40" s="2"/>
      <c r="E40" s="2"/>
      <c r="F40" s="2"/>
      <c r="G40" s="2">
        <f>-0.043-F40</f>
        <v>-4.2999999999999997E-2</v>
      </c>
      <c r="H40" s="2"/>
      <c r="I40" s="2"/>
      <c r="J40" s="2">
        <v>-2.0339999999999998</v>
      </c>
      <c r="K40" s="2">
        <f>-6.877-J40</f>
        <v>-4.843</v>
      </c>
      <c r="Q40" s="1">
        <v>0.183</v>
      </c>
      <c r="R40" s="1">
        <v>0.39800000000000002</v>
      </c>
    </row>
    <row r="41" spans="1:25" x14ac:dyDescent="0.2">
      <c r="A41" s="1" t="s">
        <v>54</v>
      </c>
      <c r="B41" s="2"/>
      <c r="C41" s="2"/>
      <c r="D41" s="2"/>
      <c r="E41" s="2"/>
      <c r="F41" s="2"/>
      <c r="G41" s="2">
        <f>1.757-F41</f>
        <v>1.7569999999999999</v>
      </c>
      <c r="H41" s="2"/>
      <c r="I41" s="2"/>
      <c r="J41" s="2">
        <v>0.27500000000000002</v>
      </c>
      <c r="K41" s="2">
        <f>14.147-J41</f>
        <v>13.872</v>
      </c>
      <c r="Q41" s="1">
        <v>9.1959999999999997</v>
      </c>
      <c r="R41" s="1">
        <v>2.5030000000000001</v>
      </c>
    </row>
    <row r="42" spans="1:25" x14ac:dyDescent="0.2">
      <c r="A42" s="1" t="s">
        <v>55</v>
      </c>
      <c r="B42" s="2"/>
      <c r="C42" s="2"/>
      <c r="D42" s="2"/>
      <c r="E42" s="2"/>
      <c r="F42" s="2"/>
      <c r="G42" s="2">
        <v>0.76</v>
      </c>
      <c r="H42" s="2"/>
      <c r="I42" s="2"/>
      <c r="J42" s="2"/>
      <c r="K42" s="2">
        <f>4.145-J42</f>
        <v>4.1449999999999996</v>
      </c>
      <c r="Q42" s="1">
        <v>1.3859999999999999</v>
      </c>
      <c r="R42" s="1">
        <v>2.8730000000000002</v>
      </c>
    </row>
    <row r="43" spans="1:25" x14ac:dyDescent="0.2">
      <c r="A43" s="1" t="s">
        <v>56</v>
      </c>
      <c r="B43" s="2"/>
      <c r="C43" s="2"/>
      <c r="D43" s="2"/>
      <c r="E43" s="2"/>
      <c r="F43" s="2"/>
      <c r="G43" s="2">
        <v>0</v>
      </c>
      <c r="H43" s="2"/>
      <c r="I43" s="2"/>
      <c r="J43" s="2"/>
      <c r="K43" s="2">
        <f>0.168-J43</f>
        <v>0.16800000000000001</v>
      </c>
      <c r="Q43" s="1">
        <v>4.0000000000000001E-3</v>
      </c>
      <c r="R43" s="1">
        <v>3.2360000000000002</v>
      </c>
    </row>
    <row r="44" spans="1:25" x14ac:dyDescent="0.2">
      <c r="A44" s="1" t="s">
        <v>57</v>
      </c>
      <c r="B44" s="2"/>
      <c r="C44" s="2"/>
      <c r="D44" s="2"/>
      <c r="E44" s="2"/>
      <c r="F44" s="2"/>
      <c r="G44" s="2">
        <f>0.88-F43</f>
        <v>0.88</v>
      </c>
      <c r="H44" s="2"/>
      <c r="I44" s="2"/>
      <c r="J44" s="2"/>
      <c r="K44" s="2">
        <f>19.019-J44</f>
        <v>19.018999999999998</v>
      </c>
      <c r="Q44" s="1">
        <v>2.3889999999999998</v>
      </c>
      <c r="R44" s="1">
        <v>2.4849999999999999</v>
      </c>
    </row>
    <row r="45" spans="1:25" x14ac:dyDescent="0.2">
      <c r="A45" s="1" t="s">
        <v>58</v>
      </c>
      <c r="B45" s="2"/>
      <c r="C45" s="2"/>
      <c r="D45" s="2"/>
      <c r="E45" s="2"/>
      <c r="F45" s="2"/>
      <c r="G45" s="2">
        <f>-0.307-F44</f>
        <v>-0.307</v>
      </c>
      <c r="H45" s="2"/>
      <c r="I45" s="2"/>
      <c r="J45" s="2"/>
      <c r="K45" s="2">
        <f>-0.642-J45</f>
        <v>-0.64200000000000002</v>
      </c>
      <c r="Q45" s="1">
        <v>2.1259999999999999</v>
      </c>
      <c r="R45" s="1">
        <v>-0.97199999999999998</v>
      </c>
    </row>
    <row r="46" spans="1:25" x14ac:dyDescent="0.2">
      <c r="A46" s="1" t="s">
        <v>59</v>
      </c>
      <c r="B46" s="2"/>
      <c r="C46" s="2"/>
      <c r="D46" s="2"/>
      <c r="E46" s="2"/>
      <c r="F46" s="2"/>
      <c r="G46" s="2">
        <v>0</v>
      </c>
      <c r="H46" s="2"/>
      <c r="I46" s="2"/>
      <c r="J46" s="2"/>
      <c r="K46" s="2">
        <f>1.896-J46</f>
        <v>1.8959999999999999</v>
      </c>
      <c r="Q46" s="1">
        <v>0</v>
      </c>
      <c r="R46" s="1">
        <v>0</v>
      </c>
    </row>
    <row r="47" spans="1:25" x14ac:dyDescent="0.2">
      <c r="A47" s="1" t="s">
        <v>60</v>
      </c>
      <c r="B47" s="2"/>
      <c r="C47" s="2"/>
      <c r="D47" s="2"/>
      <c r="E47" s="2"/>
      <c r="F47" s="2"/>
      <c r="G47" s="2">
        <f>-3.3-F46</f>
        <v>-3.3</v>
      </c>
      <c r="H47" s="2"/>
      <c r="I47" s="2"/>
      <c r="J47" s="2"/>
      <c r="K47" s="2">
        <f>-11.081-J47</f>
        <v>-11.081</v>
      </c>
      <c r="Q47" s="1">
        <v>-9.1609999999999996</v>
      </c>
      <c r="R47" s="1">
        <v>-5.0579999999999998</v>
      </c>
    </row>
    <row r="48" spans="1:25" x14ac:dyDescent="0.2">
      <c r="A48" s="1" t="s">
        <v>61</v>
      </c>
      <c r="B48" s="2"/>
      <c r="C48" s="2"/>
      <c r="D48" s="2"/>
      <c r="E48" s="2"/>
      <c r="F48" s="2"/>
      <c r="G48" s="2">
        <f>-7.753-F47</f>
        <v>-7.7530000000000001</v>
      </c>
      <c r="H48" s="2"/>
      <c r="I48" s="2"/>
      <c r="J48" s="2"/>
      <c r="K48" s="2">
        <f>-67.994-J48</f>
        <v>-67.994</v>
      </c>
      <c r="Q48" s="1">
        <v>2.7850000000000001</v>
      </c>
      <c r="R48" s="1">
        <v>-9.8819999999999997</v>
      </c>
    </row>
    <row r="49" spans="1:19" x14ac:dyDescent="0.2">
      <c r="A49" s="1" t="s">
        <v>62</v>
      </c>
      <c r="B49" s="2"/>
      <c r="C49" s="2"/>
      <c r="D49" s="2"/>
      <c r="E49" s="2"/>
      <c r="F49" s="2"/>
      <c r="G49" s="2">
        <f>-2.226-F48</f>
        <v>-2.226</v>
      </c>
      <c r="H49" s="2"/>
      <c r="I49" s="2"/>
      <c r="J49" s="2"/>
      <c r="K49" s="2">
        <f>-1.376-J49</f>
        <v>-1.3759999999999999</v>
      </c>
      <c r="Q49" s="1">
        <v>-1.3839999999999999</v>
      </c>
      <c r="R49" s="1">
        <v>-9.2490000000000006</v>
      </c>
    </row>
    <row r="50" spans="1:19" x14ac:dyDescent="0.2">
      <c r="A50" s="1" t="s">
        <v>63</v>
      </c>
      <c r="B50" s="2"/>
      <c r="C50" s="2"/>
      <c r="D50" s="2"/>
      <c r="E50" s="2"/>
      <c r="F50" s="2"/>
      <c r="G50" s="2">
        <f>2.915-F49</f>
        <v>2.915</v>
      </c>
      <c r="H50" s="2"/>
      <c r="I50" s="2"/>
      <c r="J50" s="2"/>
      <c r="K50" s="2">
        <f>9.916-J50</f>
        <v>9.9160000000000004</v>
      </c>
      <c r="Q50" s="1">
        <v>6.6189999999999998</v>
      </c>
      <c r="R50" s="1">
        <v>19.391999999999999</v>
      </c>
    </row>
    <row r="51" spans="1:19" x14ac:dyDescent="0.2">
      <c r="A51" s="1" t="s">
        <v>64</v>
      </c>
      <c r="B51" s="2"/>
      <c r="C51" s="2"/>
      <c r="D51" s="2"/>
      <c r="E51" s="2"/>
      <c r="F51" s="2"/>
      <c r="G51" s="2">
        <f>0.092-F50</f>
        <v>9.1999999999999998E-2</v>
      </c>
      <c r="H51" s="2"/>
      <c r="I51" s="2"/>
      <c r="J51" s="2"/>
      <c r="K51" s="2">
        <f>0.997-J51</f>
        <v>0.997</v>
      </c>
      <c r="Q51" s="1">
        <v>-1.6890000000000001</v>
      </c>
      <c r="R51" s="1">
        <v>1.4730000000000001</v>
      </c>
    </row>
    <row r="52" spans="1:19" x14ac:dyDescent="0.2">
      <c r="A52" s="1" t="s">
        <v>65</v>
      </c>
      <c r="B52" s="2"/>
      <c r="C52" s="2"/>
      <c r="D52" s="2"/>
      <c r="E52" s="2"/>
      <c r="F52" s="2"/>
      <c r="G52" s="2">
        <f>0.344-F51</f>
        <v>0.34399999999999997</v>
      </c>
      <c r="H52" s="2"/>
      <c r="I52" s="2"/>
      <c r="J52" s="2"/>
      <c r="K52" s="2">
        <f>-0.261-J52</f>
        <v>-0.26100000000000001</v>
      </c>
      <c r="Q52" s="1">
        <v>-1.53</v>
      </c>
      <c r="R52" s="1">
        <v>10.977</v>
      </c>
    </row>
    <row r="53" spans="1:19" x14ac:dyDescent="0.2">
      <c r="A53" s="1" t="s">
        <v>66</v>
      </c>
      <c r="B53" s="2"/>
      <c r="C53" s="2"/>
      <c r="D53" s="2"/>
      <c r="E53" s="2"/>
      <c r="F53" s="2"/>
      <c r="G53" s="2">
        <f>9.883-F52</f>
        <v>9.8829999999999991</v>
      </c>
      <c r="H53" s="2"/>
      <c r="I53" s="2"/>
      <c r="J53" s="2"/>
      <c r="K53" s="2">
        <f>16.771-J53</f>
        <v>16.771000000000001</v>
      </c>
      <c r="Q53" s="1">
        <v>14.356</v>
      </c>
      <c r="R53" s="1">
        <v>20.234000000000002</v>
      </c>
    </row>
    <row r="54" spans="1:19" x14ac:dyDescent="0.2">
      <c r="A54" s="1" t="s">
        <v>67</v>
      </c>
      <c r="B54" s="2"/>
      <c r="C54" s="2"/>
      <c r="D54" s="2"/>
      <c r="E54" s="2"/>
      <c r="F54" s="2"/>
      <c r="G54" s="2">
        <f>+SUM(G36:G53)</f>
        <v>22.700000000000003</v>
      </c>
      <c r="H54" s="2"/>
      <c r="I54" s="2"/>
      <c r="J54" s="2"/>
      <c r="K54" s="2">
        <f>+SUM(K36:K53)</f>
        <v>8.6139999999999937</v>
      </c>
      <c r="P54" s="2">
        <f t="shared" ref="P54:S54" si="61">+SUM(P36:P53)</f>
        <v>0</v>
      </c>
      <c r="Q54" s="2">
        <f t="shared" si="61"/>
        <v>49.655999999999949</v>
      </c>
      <c r="R54" s="2">
        <f t="shared" si="61"/>
        <v>133.45199999999997</v>
      </c>
      <c r="S54" s="2">
        <f t="shared" si="61"/>
        <v>94.567610677000033</v>
      </c>
    </row>
    <row r="55" spans="1:19" x14ac:dyDescent="0.2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9" x14ac:dyDescent="0.2">
      <c r="A56" s="1" t="s">
        <v>68</v>
      </c>
      <c r="B56" s="2"/>
      <c r="C56" s="2"/>
      <c r="D56" s="2"/>
      <c r="E56" s="2"/>
      <c r="F56" s="2"/>
      <c r="G56" s="2">
        <f>-0.158-F56</f>
        <v>-0.158</v>
      </c>
      <c r="H56" s="2"/>
      <c r="I56" s="2"/>
      <c r="J56" s="2"/>
      <c r="K56" s="2">
        <f>-10.196-J56</f>
        <v>-10.196</v>
      </c>
      <c r="Q56" s="1">
        <v>-0.70899999999999996</v>
      </c>
      <c r="R56" s="1">
        <v>-4.38</v>
      </c>
    </row>
    <row r="57" spans="1:19" x14ac:dyDescent="0.2">
      <c r="A57" s="1" t="s">
        <v>69</v>
      </c>
      <c r="B57" s="2"/>
      <c r="C57" s="2"/>
      <c r="D57" s="2"/>
      <c r="E57" s="2"/>
      <c r="F57" s="2"/>
      <c r="G57" s="2">
        <v>0</v>
      </c>
      <c r="H57" s="2"/>
      <c r="I57" s="2"/>
      <c r="J57" s="2"/>
      <c r="K57" s="2">
        <f>1.636-J57</f>
        <v>1.6359999999999999</v>
      </c>
      <c r="Q57" s="1">
        <v>0</v>
      </c>
      <c r="R57" s="1">
        <v>0.46200000000000002</v>
      </c>
    </row>
    <row r="58" spans="1:19" x14ac:dyDescent="0.2">
      <c r="A58" s="1" t="s">
        <v>70</v>
      </c>
      <c r="B58" s="2"/>
      <c r="C58" s="2"/>
      <c r="D58" s="2"/>
      <c r="E58" s="2"/>
      <c r="F58" s="2"/>
      <c r="G58" s="2">
        <v>0</v>
      </c>
      <c r="H58" s="2"/>
      <c r="I58" s="2"/>
      <c r="J58" s="2"/>
      <c r="K58" s="2">
        <f>-21.843-J58</f>
        <v>-21.843</v>
      </c>
      <c r="Q58" s="1">
        <v>0</v>
      </c>
      <c r="R58" s="1">
        <v>-86.629000000000005</v>
      </c>
    </row>
    <row r="59" spans="1:19" x14ac:dyDescent="0.2">
      <c r="A59" s="1" t="s">
        <v>71</v>
      </c>
      <c r="B59" s="2"/>
      <c r="C59" s="2"/>
      <c r="D59" s="2"/>
      <c r="E59" s="2"/>
      <c r="F59" s="2"/>
      <c r="G59" s="2">
        <f>+SUM(G56:G58)</f>
        <v>-0.158</v>
      </c>
      <c r="H59" s="2"/>
      <c r="I59" s="2"/>
      <c r="J59" s="2"/>
      <c r="K59" s="2">
        <f>+SUM(K56:K58)</f>
        <v>-30.402999999999999</v>
      </c>
      <c r="P59" s="2">
        <f t="shared" ref="P59:S59" si="62">+SUM(P56:P58)</f>
        <v>0</v>
      </c>
      <c r="Q59" s="2">
        <f t="shared" si="62"/>
        <v>-0.70899999999999996</v>
      </c>
      <c r="R59" s="2">
        <f t="shared" si="62"/>
        <v>-90.547000000000011</v>
      </c>
      <c r="S59" s="2">
        <f t="shared" si="62"/>
        <v>0</v>
      </c>
    </row>
    <row r="60" spans="1:19" x14ac:dyDescent="0.2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9" x14ac:dyDescent="0.2">
      <c r="A61" s="1" t="s">
        <v>72</v>
      </c>
      <c r="B61" s="2"/>
      <c r="C61" s="2"/>
      <c r="D61" s="2"/>
      <c r="E61" s="2"/>
      <c r="F61" s="2"/>
      <c r="G61" s="2">
        <f>-0.909-F61</f>
        <v>-0.90900000000000003</v>
      </c>
      <c r="H61" s="2"/>
      <c r="I61" s="2"/>
      <c r="J61" s="2"/>
      <c r="K61" s="2">
        <f>-1.149-J61</f>
        <v>-1.149</v>
      </c>
      <c r="Q61" s="1">
        <v>-3.6240000000000001</v>
      </c>
      <c r="R61" s="1">
        <v>-2.2120000000000002</v>
      </c>
    </row>
    <row r="62" spans="1:19" x14ac:dyDescent="0.2">
      <c r="A62" s="1" t="s">
        <v>73</v>
      </c>
      <c r="B62" s="2"/>
      <c r="C62" s="2"/>
      <c r="D62" s="2"/>
      <c r="E62" s="2"/>
      <c r="F62" s="2"/>
      <c r="G62" s="2">
        <f>-0.145-F62</f>
        <v>-0.14499999999999999</v>
      </c>
      <c r="H62" s="2"/>
      <c r="I62" s="2"/>
      <c r="J62" s="2"/>
      <c r="K62" s="2">
        <f>0-J62</f>
        <v>0</v>
      </c>
      <c r="Q62" s="1">
        <v>-0.312</v>
      </c>
      <c r="R62" s="1">
        <v>-0.19700000000000001</v>
      </c>
    </row>
    <row r="63" spans="1:19" x14ac:dyDescent="0.2">
      <c r="A63" s="1" t="s">
        <v>78</v>
      </c>
      <c r="B63" s="2"/>
      <c r="C63" s="2"/>
      <c r="D63" s="2"/>
      <c r="E63" s="2"/>
      <c r="F63" s="2"/>
      <c r="G63" s="2"/>
      <c r="H63" s="2"/>
      <c r="I63" s="2"/>
      <c r="J63" s="2"/>
      <c r="K63" s="2"/>
      <c r="Q63" s="1">
        <v>0</v>
      </c>
      <c r="R63" s="1">
        <v>-1.5940000000000001</v>
      </c>
    </row>
    <row r="64" spans="1:19" x14ac:dyDescent="0.2">
      <c r="A64" s="1" t="s">
        <v>74</v>
      </c>
      <c r="B64" s="2"/>
      <c r="C64" s="2"/>
      <c r="D64" s="2"/>
      <c r="E64" s="2"/>
      <c r="F64" s="2"/>
      <c r="G64" s="2">
        <f>+G61+G62</f>
        <v>-1.054</v>
      </c>
      <c r="H64" s="2"/>
      <c r="I64" s="2"/>
      <c r="J64" s="2"/>
      <c r="K64" s="2">
        <f>+K61+K62</f>
        <v>-1.149</v>
      </c>
      <c r="P64" s="2">
        <f t="shared" ref="P64:Q64" si="63">+P61+P62+P63</f>
        <v>0</v>
      </c>
      <c r="Q64" s="2">
        <f t="shared" si="63"/>
        <v>-3.9359999999999999</v>
      </c>
      <c r="R64" s="2">
        <f>+R61+R62+R63</f>
        <v>-4.0030000000000001</v>
      </c>
      <c r="S64" s="2">
        <f t="shared" ref="S64" si="64">+S61+S62</f>
        <v>0</v>
      </c>
    </row>
    <row r="65" spans="1:19" x14ac:dyDescent="0.2">
      <c r="A65" s="1" t="s">
        <v>75</v>
      </c>
      <c r="B65" s="2"/>
      <c r="C65" s="2"/>
      <c r="D65" s="2"/>
      <c r="E65" s="2"/>
      <c r="F65" s="2"/>
      <c r="G65" s="2">
        <f>0.101-F65</f>
        <v>0.10100000000000001</v>
      </c>
      <c r="H65" s="2"/>
      <c r="I65" s="2"/>
      <c r="J65" s="2"/>
      <c r="K65" s="2">
        <f>-0.505-J65</f>
        <v>-0.505</v>
      </c>
    </row>
    <row r="66" spans="1:19" x14ac:dyDescent="0.2">
      <c r="A66" s="1" t="s">
        <v>76</v>
      </c>
      <c r="B66" s="2"/>
      <c r="C66" s="2"/>
      <c r="D66" s="2"/>
      <c r="E66" s="2"/>
      <c r="F66" s="2"/>
      <c r="G66" s="2">
        <f>+G54+G59+G64+G65</f>
        <v>21.589000000000002</v>
      </c>
      <c r="H66" s="2"/>
      <c r="I66" s="2"/>
      <c r="J66" s="2"/>
      <c r="K66" s="2">
        <f>+K54+K59+K64+K65</f>
        <v>-23.443000000000005</v>
      </c>
      <c r="P66" s="2">
        <f t="shared" ref="P66:S66" si="65">+P54+P59+P64+P65</f>
        <v>0</v>
      </c>
      <c r="Q66" s="2">
        <f t="shared" si="65"/>
        <v>45.010999999999946</v>
      </c>
      <c r="R66" s="2">
        <f t="shared" si="65"/>
        <v>38.901999999999958</v>
      </c>
      <c r="S66" s="2">
        <f t="shared" si="65"/>
        <v>94.567610677000033</v>
      </c>
    </row>
    <row r="68" spans="1:19" x14ac:dyDescent="0.2">
      <c r="A68" s="1" t="s">
        <v>77</v>
      </c>
      <c r="G68" s="2">
        <f>+G54+G56</f>
        <v>22.542000000000002</v>
      </c>
      <c r="K68" s="2">
        <f>+K54+K56</f>
        <v>-1.5820000000000061</v>
      </c>
      <c r="P68" s="2">
        <f t="shared" ref="P68" si="66">+P54+P56</f>
        <v>0</v>
      </c>
      <c r="Q68" s="2">
        <f>+Q54+Q56</f>
        <v>48.946999999999946</v>
      </c>
      <c r="R68" s="2">
        <f>+R54+R56</f>
        <v>129.07199999999997</v>
      </c>
      <c r="S68" s="2">
        <f t="shared" ref="S68" si="67">+S54+S56</f>
        <v>94.567610677000033</v>
      </c>
    </row>
    <row r="69" spans="1:19" x14ac:dyDescent="0.2">
      <c r="N69" s="1">
        <f>+main!B7/model!R68</f>
        <v>6.9499837300111595</v>
      </c>
    </row>
    <row r="70" spans="1:19" x14ac:dyDescent="0.2">
      <c r="A70" s="12" t="s">
        <v>79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8">
        <v>275.5</v>
      </c>
      <c r="P70" s="8">
        <v>414.2</v>
      </c>
      <c r="Q70" s="8">
        <v>518.20000000000005</v>
      </c>
      <c r="R70" s="8">
        <v>794.4</v>
      </c>
    </row>
    <row r="71" spans="1:19" x14ac:dyDescent="0.2">
      <c r="A71" s="12" t="s">
        <v>80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>
        <v>112777</v>
      </c>
      <c r="P71" s="10">
        <v>11615</v>
      </c>
      <c r="Q71" s="10">
        <v>124692</v>
      </c>
      <c r="R71" s="10">
        <v>158569</v>
      </c>
    </row>
    <row r="72" spans="1:19" x14ac:dyDescent="0.2">
      <c r="A72" s="12" t="s">
        <v>81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8">
        <v>1689</v>
      </c>
      <c r="P72" s="8">
        <v>3.5659999999999998</v>
      </c>
      <c r="Q72" s="8">
        <v>4156</v>
      </c>
      <c r="R72" s="8">
        <v>5010</v>
      </c>
    </row>
    <row r="73" spans="1:19" x14ac:dyDescent="0.2">
      <c r="A73" s="12" t="s">
        <v>82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1">
        <v>60.1</v>
      </c>
      <c r="P73" s="11">
        <v>98.3</v>
      </c>
      <c r="Q73" s="11">
        <v>140.6</v>
      </c>
      <c r="R73" s="11">
        <v>199.1</v>
      </c>
    </row>
    <row r="74" spans="1:19" x14ac:dyDescent="0.2">
      <c r="A74" s="12" t="s">
        <v>83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1">
        <v>122.1</v>
      </c>
      <c r="P74" s="11">
        <v>188.3</v>
      </c>
      <c r="Q74" s="11">
        <v>231.7</v>
      </c>
      <c r="R74" s="11">
        <v>299.89999999999998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2024-08-22T16:18:02Z</dcterms:created>
  <dcterms:modified xsi:type="dcterms:W3CDTF">2024-08-22T20:46:10Z</dcterms:modified>
</cp:coreProperties>
</file>