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defaultThemeVersion="202300"/>
  <mc:AlternateContent xmlns:mc="http://schemas.openxmlformats.org/markup-compatibility/2006">
    <mc:Choice Requires="x15">
      <x15ac:absPath xmlns:x15ac="http://schemas.microsoft.com/office/spreadsheetml/2010/11/ac" url="https://phdisegutl-my.sharepoint.com/personal/l59357_aln_iseg_ulisboa_pt/Documents/Desktop/Models/"/>
    </mc:Choice>
  </mc:AlternateContent>
  <xr:revisionPtr revIDLastSave="162" documentId="13_ncr:1_{D0E463E6-66C2-46DF-86C5-E989748137E1}" xr6:coauthVersionLast="47" xr6:coauthVersionMax="47" xr10:uidLastSave="{DA670C84-3DDC-4901-92A4-5AB31E305245}"/>
  <bookViews>
    <workbookView xWindow="-14295" yWindow="-585" windowWidth="14400" windowHeight="15585" activeTab="1" xr2:uid="{F6517E8C-2BBB-45A8-AE6B-50DF07C896C9}"/>
  </bookViews>
  <sheets>
    <sheet name="main" sheetId="1" r:id="rId1"/>
    <sheet name="model" sheetId="2" r:id="rId2"/>
    <sheet name="waymo"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G56" i="2" l="1"/>
  <c r="AV120" i="2"/>
  <c r="AP120" i="2"/>
  <c r="AO120" i="2"/>
  <c r="AN120" i="2"/>
  <c r="AM120" i="2"/>
  <c r="AL120" i="2"/>
  <c r="AK120" i="2"/>
  <c r="AJ120" i="2"/>
  <c r="AI120" i="2"/>
  <c r="AH120" i="2"/>
  <c r="AG120" i="2"/>
  <c r="AF120" i="2"/>
  <c r="AP56" i="2"/>
  <c r="AO56" i="2"/>
  <c r="AN56" i="2"/>
  <c r="AM56" i="2"/>
  <c r="AL56" i="2"/>
  <c r="AK56" i="2"/>
  <c r="AJ56" i="2"/>
  <c r="AI56" i="2"/>
  <c r="AH56" i="2"/>
  <c r="AF56" i="2"/>
  <c r="AT56" i="2"/>
  <c r="AO43" i="2"/>
  <c r="AN43" i="2"/>
  <c r="AM43" i="2"/>
  <c r="AL43" i="2"/>
  <c r="AK43" i="2"/>
  <c r="AJ43" i="2"/>
  <c r="AI43" i="2"/>
  <c r="AH43" i="2"/>
  <c r="AG43" i="2"/>
  <c r="AF43" i="2"/>
  <c r="AE43" i="2"/>
  <c r="AO42" i="2"/>
  <c r="AN42" i="2"/>
  <c r="AM42" i="2"/>
  <c r="AL42" i="2"/>
  <c r="AK42" i="2"/>
  <c r="AJ42" i="2"/>
  <c r="AI42" i="2"/>
  <c r="AH42" i="2"/>
  <c r="AG42" i="2"/>
  <c r="AF42" i="2"/>
  <c r="AE42" i="2"/>
  <c r="AO41" i="2"/>
  <c r="AN41" i="2"/>
  <c r="AM41" i="2"/>
  <c r="AL41" i="2"/>
  <c r="AK41" i="2"/>
  <c r="AJ41" i="2"/>
  <c r="AI41" i="2"/>
  <c r="AH41" i="2"/>
  <c r="AG41" i="2"/>
  <c r="AF41" i="2"/>
  <c r="AE41" i="2"/>
  <c r="AP39" i="2"/>
  <c r="AO39" i="2"/>
  <c r="AN39" i="2"/>
  <c r="AM39" i="2"/>
  <c r="AL39" i="2"/>
  <c r="AK39" i="2"/>
  <c r="AJ39" i="2"/>
  <c r="AI39" i="2"/>
  <c r="AH39" i="2"/>
  <c r="AG39" i="2"/>
  <c r="AF39" i="2"/>
  <c r="AO28" i="2"/>
  <c r="AN28" i="2"/>
  <c r="AM28" i="2"/>
  <c r="AL28" i="2"/>
  <c r="AK28" i="2"/>
  <c r="AJ28" i="2"/>
  <c r="AI28" i="2"/>
  <c r="AH28" i="2"/>
  <c r="AG28" i="2"/>
  <c r="AF28" i="2"/>
  <c r="AE28" i="2"/>
  <c r="AO26" i="2"/>
  <c r="AN26" i="2"/>
  <c r="AM26" i="2"/>
  <c r="AL26" i="2"/>
  <c r="AK26" i="2"/>
  <c r="AJ26" i="2"/>
  <c r="AI26" i="2"/>
  <c r="AH26" i="2"/>
  <c r="AG26" i="2"/>
  <c r="AF26" i="2"/>
  <c r="AE26" i="2"/>
  <c r="AO24" i="2"/>
  <c r="AN24" i="2"/>
  <c r="AM24" i="2"/>
  <c r="AL24" i="2"/>
  <c r="AK24" i="2"/>
  <c r="AJ24" i="2"/>
  <c r="AI24" i="2"/>
  <c r="AH24" i="2"/>
  <c r="AG24" i="2"/>
  <c r="AF24" i="2"/>
  <c r="AE24" i="2"/>
  <c r="AO18" i="2"/>
  <c r="AN18" i="2"/>
  <c r="AM18" i="2"/>
  <c r="AL18" i="2"/>
  <c r="AK18" i="2"/>
  <c r="AJ18" i="2"/>
  <c r="AI18" i="2"/>
  <c r="AH18" i="2"/>
  <c r="AG18" i="2"/>
  <c r="AF18" i="2"/>
  <c r="AE18" i="2"/>
  <c r="AN1" i="2"/>
  <c r="AM1" i="2" s="1"/>
  <c r="AL1" i="2" s="1"/>
  <c r="AK1" i="2" s="1"/>
  <c r="AJ1" i="2" s="1"/>
  <c r="AI1" i="2" s="1"/>
  <c r="AH1" i="2" s="1"/>
  <c r="AG1" i="2" s="1"/>
  <c r="AF1" i="2" s="1"/>
  <c r="AE1" i="2" s="1"/>
  <c r="AO1" i="2"/>
  <c r="B2" i="1" a="1"/>
  <c r="B2" i="1" s="1"/>
  <c r="AX12" i="2"/>
  <c r="AY12" i="2" s="1"/>
  <c r="AZ12" i="2" s="1"/>
  <c r="BA12" i="2" s="1"/>
  <c r="BB12" i="2" s="1"/>
  <c r="J5" i="3"/>
  <c r="J4" i="3"/>
  <c r="J3" i="3"/>
  <c r="I5" i="3"/>
  <c r="I4" i="3"/>
  <c r="I3" i="3"/>
  <c r="D4" i="3"/>
  <c r="E4" i="3" s="1"/>
  <c r="D16" i="3"/>
  <c r="D3" i="3"/>
  <c r="E3" i="3" s="1"/>
  <c r="AW29" i="2" l="1"/>
  <c r="AX29" i="2" s="1"/>
  <c r="AV116" i="2"/>
  <c r="AU116" i="2"/>
  <c r="AV108" i="2"/>
  <c r="AV56" i="2"/>
  <c r="BE11" i="2" s="1"/>
  <c r="AV80" i="2"/>
  <c r="AV67" i="2"/>
  <c r="AV27" i="2"/>
  <c r="AV25" i="2"/>
  <c r="AV21" i="2"/>
  <c r="AV20" i="2"/>
  <c r="AV19" i="2"/>
  <c r="AV17" i="2"/>
  <c r="AV13" i="2"/>
  <c r="AV11" i="2"/>
  <c r="AW11" i="2" s="1"/>
  <c r="AX11" i="2" s="1"/>
  <c r="AY11" i="2" s="1"/>
  <c r="AZ11" i="2" s="1"/>
  <c r="BA11" i="2" s="1"/>
  <c r="BB11" i="2" s="1"/>
  <c r="AV10" i="2"/>
  <c r="AV9" i="2"/>
  <c r="AV8" i="2"/>
  <c r="AW8" i="2" s="1"/>
  <c r="AX8" i="2" s="1"/>
  <c r="AV7" i="2"/>
  <c r="Y56" i="2"/>
  <c r="Y38" i="2"/>
  <c r="Y37" i="2"/>
  <c r="Y36" i="2"/>
  <c r="Y35" i="2"/>
  <c r="Y34" i="2"/>
  <c r="Y33" i="2"/>
  <c r="Y32" i="2"/>
  <c r="Y23" i="2"/>
  <c r="Y16" i="2"/>
  <c r="Y47" i="2" s="1"/>
  <c r="X38" i="2"/>
  <c r="X37" i="2"/>
  <c r="X36" i="2"/>
  <c r="X35" i="2"/>
  <c r="X34" i="2"/>
  <c r="X33" i="2"/>
  <c r="X32" i="2"/>
  <c r="X23" i="2"/>
  <c r="X16" i="2"/>
  <c r="X47" i="2" s="1"/>
  <c r="X56" i="2"/>
  <c r="B5" i="1"/>
  <c r="AT116" i="2"/>
  <c r="AS116" i="2"/>
  <c r="AT108" i="2"/>
  <c r="AS108" i="2"/>
  <c r="AU108" i="2"/>
  <c r="AT99" i="2"/>
  <c r="AU56" i="2"/>
  <c r="AT80" i="2"/>
  <c r="AT67" i="2"/>
  <c r="AU80" i="2"/>
  <c r="AU67" i="2"/>
  <c r="M38" i="2"/>
  <c r="AP16" i="2"/>
  <c r="AP46" i="2" s="1"/>
  <c r="H52" i="2"/>
  <c r="AR52" i="2"/>
  <c r="AQ52" i="2"/>
  <c r="AP52" i="2"/>
  <c r="Y52" i="2"/>
  <c r="V52" i="2"/>
  <c r="U52" i="2"/>
  <c r="R52" i="2"/>
  <c r="Q52" i="2"/>
  <c r="N52" i="2"/>
  <c r="M52" i="2"/>
  <c r="J52" i="2"/>
  <c r="I52" i="2"/>
  <c r="G52" i="2"/>
  <c r="F52" i="2"/>
  <c r="E52" i="2"/>
  <c r="D52" i="2"/>
  <c r="C52" i="2"/>
  <c r="B52" i="2"/>
  <c r="E23" i="2"/>
  <c r="D23" i="2"/>
  <c r="C23" i="2"/>
  <c r="B23" i="2"/>
  <c r="F23" i="2"/>
  <c r="AR56" i="2"/>
  <c r="AQ56" i="2"/>
  <c r="AR23" i="2"/>
  <c r="AQ23" i="2"/>
  <c r="AP23" i="2"/>
  <c r="AR38" i="2"/>
  <c r="AQ38" i="2"/>
  <c r="AR37" i="2"/>
  <c r="AQ37" i="2"/>
  <c r="AR36" i="2"/>
  <c r="AQ36" i="2"/>
  <c r="AR35" i="2"/>
  <c r="AQ35" i="2"/>
  <c r="AR34" i="2"/>
  <c r="AQ34" i="2"/>
  <c r="AR33" i="2"/>
  <c r="AQ33" i="2"/>
  <c r="AR32" i="2"/>
  <c r="AQ32" i="2"/>
  <c r="AU27" i="2"/>
  <c r="AU25" i="2"/>
  <c r="AU21" i="2"/>
  <c r="AU20" i="2"/>
  <c r="AU19" i="2"/>
  <c r="AU17" i="2"/>
  <c r="AU14" i="2"/>
  <c r="AU13" i="2"/>
  <c r="AU11" i="2"/>
  <c r="AU10" i="2"/>
  <c r="AU9" i="2"/>
  <c r="AU8" i="2"/>
  <c r="AU7" i="2"/>
  <c r="AT27" i="2"/>
  <c r="AT25" i="2"/>
  <c r="AT21" i="2"/>
  <c r="AT20" i="2"/>
  <c r="AT19" i="2"/>
  <c r="AT17" i="2"/>
  <c r="AT14" i="2"/>
  <c r="AT13" i="2"/>
  <c r="AT11" i="2"/>
  <c r="AT10" i="2"/>
  <c r="AT9" i="2"/>
  <c r="AT8" i="2"/>
  <c r="AT7" i="2"/>
  <c r="AS27" i="2"/>
  <c r="AS25" i="2"/>
  <c r="AS21" i="2"/>
  <c r="AS20" i="2"/>
  <c r="AS19" i="2"/>
  <c r="AS17" i="2"/>
  <c r="AS9" i="2"/>
  <c r="AS34" i="2" s="1"/>
  <c r="AS8" i="2"/>
  <c r="AS33" i="2" s="1"/>
  <c r="AS7" i="2"/>
  <c r="AS32" i="2" s="1"/>
  <c r="AS14" i="2"/>
  <c r="AS38" i="2" s="1"/>
  <c r="AS13" i="2"/>
  <c r="AS37" i="2" s="1"/>
  <c r="AS11" i="2"/>
  <c r="AS36" i="2" s="1"/>
  <c r="AS10" i="2"/>
  <c r="AS35" i="2" s="1"/>
  <c r="P56" i="2"/>
  <c r="K51" i="2"/>
  <c r="K50" i="2"/>
  <c r="L50" i="2" s="1"/>
  <c r="K49" i="2"/>
  <c r="L49" i="2" s="1"/>
  <c r="O51" i="2"/>
  <c r="P51" i="2" s="1"/>
  <c r="AT51" i="2" s="1"/>
  <c r="O50" i="2"/>
  <c r="P50" i="2" s="1"/>
  <c r="O49" i="2"/>
  <c r="P49" i="2" s="1"/>
  <c r="O56" i="2"/>
  <c r="N56" i="2"/>
  <c r="M56" i="2"/>
  <c r="AS56" i="2" s="1"/>
  <c r="AR1" i="2"/>
  <c r="AS1" i="2" s="1"/>
  <c r="AT1" i="2" s="1"/>
  <c r="AU1" i="2" s="1"/>
  <c r="AV1" i="2" s="1"/>
  <c r="AW1" i="2" s="1"/>
  <c r="AX1" i="2" s="1"/>
  <c r="AY1" i="2" s="1"/>
  <c r="AZ1" i="2" s="1"/>
  <c r="BA1" i="2" s="1"/>
  <c r="BB1" i="2" s="1"/>
  <c r="AR16" i="2"/>
  <c r="AR18" i="2" s="1"/>
  <c r="AQ16" i="2"/>
  <c r="AQ18" i="2" s="1"/>
  <c r="X45" i="2" l="1"/>
  <c r="AY29" i="2"/>
  <c r="AV81" i="2"/>
  <c r="AV82" i="2" s="1"/>
  <c r="AT81" i="2"/>
  <c r="AT82" i="2" s="1"/>
  <c r="AW20" i="2"/>
  <c r="AX20" i="2" s="1"/>
  <c r="AY20" i="2" s="1"/>
  <c r="AZ20" i="2" s="1"/>
  <c r="BA20" i="2" s="1"/>
  <c r="BB20" i="2" s="1"/>
  <c r="AV36" i="2"/>
  <c r="AV34" i="2"/>
  <c r="AW21" i="2"/>
  <c r="AX21" i="2" s="1"/>
  <c r="AY21" i="2" s="1"/>
  <c r="AZ21" i="2" s="1"/>
  <c r="BA21" i="2" s="1"/>
  <c r="BB21" i="2" s="1"/>
  <c r="X18" i="2"/>
  <c r="X24" i="2" s="1"/>
  <c r="X26" i="2" s="1"/>
  <c r="X28" i="2" s="1"/>
  <c r="X43" i="2" s="1"/>
  <c r="X46" i="2"/>
  <c r="Y45" i="2"/>
  <c r="Y18" i="2"/>
  <c r="Y41" i="2" s="1"/>
  <c r="Y46" i="2"/>
  <c r="X41" i="2"/>
  <c r="AP45" i="2"/>
  <c r="AR46" i="2"/>
  <c r="AQ45" i="2"/>
  <c r="AQ46" i="2"/>
  <c r="AP47" i="2"/>
  <c r="AR45" i="2"/>
  <c r="AQ47" i="2"/>
  <c r="AR47" i="2"/>
  <c r="AT35" i="2"/>
  <c r="P52" i="2"/>
  <c r="AT118" i="2"/>
  <c r="AU37" i="2"/>
  <c r="AS23" i="2"/>
  <c r="AT32" i="2"/>
  <c r="AT23" i="2"/>
  <c r="AU81" i="2"/>
  <c r="AU82" i="2" s="1"/>
  <c r="AT34" i="2"/>
  <c r="L52" i="2"/>
  <c r="AU33" i="2"/>
  <c r="AU23" i="2"/>
  <c r="AV35" i="2"/>
  <c r="AW10" i="2"/>
  <c r="AX10" i="2" s="1"/>
  <c r="AT49" i="2"/>
  <c r="AT33" i="2"/>
  <c r="AU36" i="2"/>
  <c r="AU38" i="2"/>
  <c r="AU35" i="2"/>
  <c r="K52" i="2"/>
  <c r="AT50" i="2"/>
  <c r="AT36" i="2"/>
  <c r="AS50" i="2"/>
  <c r="AT37" i="2"/>
  <c r="AU32" i="2"/>
  <c r="AW9" i="2"/>
  <c r="AX9" i="2" s="1"/>
  <c r="AY9" i="2" s="1"/>
  <c r="AZ9" i="2" s="1"/>
  <c r="BA9" i="2" s="1"/>
  <c r="BB9" i="2" s="1"/>
  <c r="BB34" i="2" s="1"/>
  <c r="AT38" i="2"/>
  <c r="AU34" i="2"/>
  <c r="O52" i="2"/>
  <c r="E54" i="2"/>
  <c r="AQ39" i="2"/>
  <c r="AR24" i="2"/>
  <c r="AQ24" i="2"/>
  <c r="L51" i="2"/>
  <c r="AS51" i="2" s="1"/>
  <c r="AU16" i="2"/>
  <c r="AU47" i="2" s="1"/>
  <c r="AS49" i="2"/>
  <c r="AR39" i="2"/>
  <c r="AR41" i="2"/>
  <c r="AQ41" i="2"/>
  <c r="AP18" i="2"/>
  <c r="AT16" i="2"/>
  <c r="AT47" i="2" s="1"/>
  <c r="AS16" i="2"/>
  <c r="AS47" i="2" s="1"/>
  <c r="W51" i="2"/>
  <c r="W50" i="2"/>
  <c r="W49" i="2"/>
  <c r="S51" i="2"/>
  <c r="S50" i="2"/>
  <c r="S49" i="2"/>
  <c r="T56" i="2"/>
  <c r="S56" i="2"/>
  <c r="R56" i="2"/>
  <c r="Q56" i="2"/>
  <c r="V56" i="2"/>
  <c r="U56" i="2"/>
  <c r="W56" i="2"/>
  <c r="F54" i="2"/>
  <c r="V38" i="2"/>
  <c r="U38" i="2"/>
  <c r="T38" i="2"/>
  <c r="S38" i="2"/>
  <c r="R38" i="2"/>
  <c r="Q38" i="2"/>
  <c r="P38" i="2"/>
  <c r="O38" i="2"/>
  <c r="N38" i="2"/>
  <c r="L38" i="2"/>
  <c r="K38" i="2"/>
  <c r="J38" i="2"/>
  <c r="I38" i="2"/>
  <c r="H38" i="2"/>
  <c r="G38" i="2"/>
  <c r="F38" i="2"/>
  <c r="V37" i="2"/>
  <c r="U37" i="2"/>
  <c r="T37" i="2"/>
  <c r="S37" i="2"/>
  <c r="R37" i="2"/>
  <c r="Q37" i="2"/>
  <c r="P37" i="2"/>
  <c r="O37" i="2"/>
  <c r="N37" i="2"/>
  <c r="M37" i="2"/>
  <c r="L37" i="2"/>
  <c r="K37" i="2"/>
  <c r="J37" i="2"/>
  <c r="I37" i="2"/>
  <c r="H37" i="2"/>
  <c r="G37" i="2"/>
  <c r="F37" i="2"/>
  <c r="V36" i="2"/>
  <c r="U36" i="2"/>
  <c r="T36" i="2"/>
  <c r="S36" i="2"/>
  <c r="R36" i="2"/>
  <c r="Q36" i="2"/>
  <c r="P36" i="2"/>
  <c r="O36" i="2"/>
  <c r="N36" i="2"/>
  <c r="M36" i="2"/>
  <c r="L36" i="2"/>
  <c r="K36" i="2"/>
  <c r="J36" i="2"/>
  <c r="I36" i="2"/>
  <c r="H36" i="2"/>
  <c r="G36" i="2"/>
  <c r="F36" i="2"/>
  <c r="V35" i="2"/>
  <c r="U35" i="2"/>
  <c r="T35" i="2"/>
  <c r="S35" i="2"/>
  <c r="R35" i="2"/>
  <c r="Q35" i="2"/>
  <c r="P35" i="2"/>
  <c r="O35" i="2"/>
  <c r="N35" i="2"/>
  <c r="M35" i="2"/>
  <c r="L35" i="2"/>
  <c r="K35" i="2"/>
  <c r="J35" i="2"/>
  <c r="I35" i="2"/>
  <c r="H35" i="2"/>
  <c r="G35" i="2"/>
  <c r="F35" i="2"/>
  <c r="V34" i="2"/>
  <c r="U34" i="2"/>
  <c r="T34" i="2"/>
  <c r="S34" i="2"/>
  <c r="R34" i="2"/>
  <c r="Q34" i="2"/>
  <c r="P34" i="2"/>
  <c r="O34" i="2"/>
  <c r="N34" i="2"/>
  <c r="M34" i="2"/>
  <c r="L34" i="2"/>
  <c r="K34" i="2"/>
  <c r="J34" i="2"/>
  <c r="I34" i="2"/>
  <c r="H34" i="2"/>
  <c r="G34" i="2"/>
  <c r="F34" i="2"/>
  <c r="V33" i="2"/>
  <c r="U33" i="2"/>
  <c r="T33" i="2"/>
  <c r="S33" i="2"/>
  <c r="R33" i="2"/>
  <c r="Q33" i="2"/>
  <c r="P33" i="2"/>
  <c r="O33" i="2"/>
  <c r="N33" i="2"/>
  <c r="M33" i="2"/>
  <c r="L33" i="2"/>
  <c r="K33" i="2"/>
  <c r="J33" i="2"/>
  <c r="I33" i="2"/>
  <c r="H33" i="2"/>
  <c r="G33" i="2"/>
  <c r="F33" i="2"/>
  <c r="V32" i="2"/>
  <c r="U32" i="2"/>
  <c r="T32" i="2"/>
  <c r="S32" i="2"/>
  <c r="R32" i="2"/>
  <c r="Q32" i="2"/>
  <c r="P32" i="2"/>
  <c r="O32" i="2"/>
  <c r="N32" i="2"/>
  <c r="M32" i="2"/>
  <c r="L32" i="2"/>
  <c r="K32" i="2"/>
  <c r="J32" i="2"/>
  <c r="I32" i="2"/>
  <c r="H32" i="2"/>
  <c r="G32" i="2"/>
  <c r="F32" i="2"/>
  <c r="W38" i="2"/>
  <c r="W37" i="2"/>
  <c r="W36" i="2"/>
  <c r="W35" i="2"/>
  <c r="W34" i="2"/>
  <c r="W33" i="2"/>
  <c r="W32" i="2"/>
  <c r="V23" i="2"/>
  <c r="U23" i="2"/>
  <c r="T23" i="2"/>
  <c r="S23" i="2"/>
  <c r="R23" i="2"/>
  <c r="Q23" i="2"/>
  <c r="P23" i="2"/>
  <c r="O23" i="2"/>
  <c r="N23" i="2"/>
  <c r="M23" i="2"/>
  <c r="L23" i="2"/>
  <c r="K23" i="2"/>
  <c r="J23" i="2"/>
  <c r="I23" i="2"/>
  <c r="H23" i="2"/>
  <c r="G23" i="2"/>
  <c r="W23" i="2"/>
  <c r="W16" i="2"/>
  <c r="V16" i="2"/>
  <c r="Z39" i="2" s="1"/>
  <c r="U16" i="2"/>
  <c r="Y39" i="2" s="1"/>
  <c r="T16" i="2"/>
  <c r="X39" i="2" s="1"/>
  <c r="S16" i="2"/>
  <c r="R16" i="2"/>
  <c r="Q16" i="2"/>
  <c r="P16" i="2"/>
  <c r="O16" i="2"/>
  <c r="N16" i="2"/>
  <c r="M16" i="2"/>
  <c r="L16" i="2"/>
  <c r="K16" i="2"/>
  <c r="J16" i="2"/>
  <c r="I16" i="2"/>
  <c r="H16" i="2"/>
  <c r="G16" i="2"/>
  <c r="F16" i="2"/>
  <c r="E16" i="2"/>
  <c r="D16" i="2"/>
  <c r="C16" i="2"/>
  <c r="B16" i="2"/>
  <c r="B4" i="1"/>
  <c r="B3" i="1"/>
  <c r="Y24" i="2" l="1"/>
  <c r="AX35" i="2"/>
  <c r="AY10" i="2"/>
  <c r="AZ10" i="2" s="1"/>
  <c r="BA10" i="2" s="1"/>
  <c r="BB10" i="2" s="1"/>
  <c r="AS45" i="2"/>
  <c r="X42" i="2"/>
  <c r="AZ29" i="2"/>
  <c r="AU45" i="2"/>
  <c r="AT46" i="2"/>
  <c r="Y26" i="2"/>
  <c r="Y28" i="2" s="1"/>
  <c r="Y43" i="2" s="1"/>
  <c r="Y42" i="2"/>
  <c r="X49" i="2"/>
  <c r="AV49" i="2" s="1"/>
  <c r="AW49" i="2" s="1"/>
  <c r="AW52" i="2" s="1"/>
  <c r="X50" i="2"/>
  <c r="AV50" i="2" s="1"/>
  <c r="X51" i="2"/>
  <c r="AV51" i="2" s="1"/>
  <c r="AU46" i="2"/>
  <c r="R18" i="2"/>
  <c r="R41" i="2" s="1"/>
  <c r="R45" i="2"/>
  <c r="R46" i="2"/>
  <c r="R47" i="2"/>
  <c r="C46" i="2"/>
  <c r="C45" i="2"/>
  <c r="C47" i="2"/>
  <c r="D18" i="2"/>
  <c r="D41" i="2" s="1"/>
  <c r="D46" i="2"/>
  <c r="D47" i="2"/>
  <c r="D45" i="2"/>
  <c r="L46" i="2"/>
  <c r="L45" i="2"/>
  <c r="L47" i="2"/>
  <c r="T18" i="2"/>
  <c r="T41" i="2" s="1"/>
  <c r="T46" i="2"/>
  <c r="T47" i="2"/>
  <c r="T45" i="2"/>
  <c r="S18" i="2"/>
  <c r="S41" i="2" s="1"/>
  <c r="S46" i="2"/>
  <c r="S47" i="2"/>
  <c r="S45" i="2"/>
  <c r="M47" i="2"/>
  <c r="M46" i="2"/>
  <c r="M45" i="2"/>
  <c r="AT45" i="2"/>
  <c r="AS46" i="2"/>
  <c r="K46" i="2"/>
  <c r="K45" i="2"/>
  <c r="K47" i="2"/>
  <c r="E18" i="2"/>
  <c r="E41" i="2" s="1"/>
  <c r="E47" i="2"/>
  <c r="E45" i="2"/>
  <c r="E46" i="2"/>
  <c r="U18" i="2"/>
  <c r="U41" i="2" s="1"/>
  <c r="U46" i="2"/>
  <c r="U47" i="2"/>
  <c r="U45" i="2"/>
  <c r="F18" i="2"/>
  <c r="F41" i="2" s="1"/>
  <c r="F47" i="2"/>
  <c r="F45" i="2"/>
  <c r="F46" i="2"/>
  <c r="N18" i="2"/>
  <c r="N41" i="2" s="1"/>
  <c r="N47" i="2"/>
  <c r="N45" i="2"/>
  <c r="N46" i="2"/>
  <c r="V47" i="2"/>
  <c r="V46" i="2"/>
  <c r="V45" i="2"/>
  <c r="G18" i="2"/>
  <c r="G47" i="2"/>
  <c r="G45" i="2"/>
  <c r="G46" i="2"/>
  <c r="O47" i="2"/>
  <c r="O45" i="2"/>
  <c r="O46" i="2"/>
  <c r="W18" i="2"/>
  <c r="W41" i="2" s="1"/>
  <c r="W47" i="2"/>
  <c r="W45" i="2"/>
  <c r="W46" i="2"/>
  <c r="B18" i="2"/>
  <c r="B41" i="2" s="1"/>
  <c r="B45" i="2"/>
  <c r="B47" i="2"/>
  <c r="B46" i="2"/>
  <c r="H46" i="2"/>
  <c r="H45" i="2"/>
  <c r="H47" i="2"/>
  <c r="P45" i="2"/>
  <c r="P46" i="2"/>
  <c r="P47" i="2"/>
  <c r="J45" i="2"/>
  <c r="J47" i="2"/>
  <c r="J46" i="2"/>
  <c r="I45" i="2"/>
  <c r="I46" i="2"/>
  <c r="I47" i="2"/>
  <c r="Q45" i="2"/>
  <c r="Q46" i="2"/>
  <c r="Q47" i="2"/>
  <c r="AU39" i="2"/>
  <c r="BA34" i="2"/>
  <c r="AX34" i="2"/>
  <c r="AY34" i="2"/>
  <c r="AV16" i="2"/>
  <c r="AV39" i="2" s="1"/>
  <c r="AZ34" i="2"/>
  <c r="AR26" i="2"/>
  <c r="AR28" i="2" s="1"/>
  <c r="AR30" i="2" s="1"/>
  <c r="AR120" i="2"/>
  <c r="AW35" i="2"/>
  <c r="AQ26" i="2"/>
  <c r="AQ28" i="2" s="1"/>
  <c r="AQ43" i="2" s="1"/>
  <c r="AW34" i="2"/>
  <c r="B7" i="1"/>
  <c r="AS52" i="2"/>
  <c r="AU18" i="2"/>
  <c r="AU41" i="2" s="1"/>
  <c r="AT52" i="2"/>
  <c r="AV33" i="2"/>
  <c r="AW14" i="2"/>
  <c r="AV38" i="2"/>
  <c r="AW13" i="2"/>
  <c r="AV37" i="2"/>
  <c r="AW36" i="2"/>
  <c r="AV32" i="2"/>
  <c r="AW7" i="2"/>
  <c r="S52" i="2"/>
  <c r="S54" i="2" s="1"/>
  <c r="C18" i="2"/>
  <c r="C41" i="2" s="1"/>
  <c r="W52" i="2"/>
  <c r="AR42" i="2"/>
  <c r="AQ42" i="2"/>
  <c r="T50" i="2"/>
  <c r="AU50" i="2" s="1"/>
  <c r="T51" i="2"/>
  <c r="AU51" i="2" s="1"/>
  <c r="T49" i="2"/>
  <c r="AS18" i="2"/>
  <c r="AS39" i="2"/>
  <c r="AT18" i="2"/>
  <c r="AT39" i="2"/>
  <c r="AP41" i="2"/>
  <c r="AP24" i="2"/>
  <c r="AQ120" i="2" s="1"/>
  <c r="L54" i="2"/>
  <c r="P39" i="2"/>
  <c r="H39" i="2"/>
  <c r="I39" i="2"/>
  <c r="J54" i="2"/>
  <c r="K54" i="2"/>
  <c r="O54" i="2"/>
  <c r="G39" i="2"/>
  <c r="O39" i="2"/>
  <c r="G54" i="2"/>
  <c r="I54" i="2"/>
  <c r="Q54" i="2"/>
  <c r="J39" i="2"/>
  <c r="B24" i="2"/>
  <c r="M39" i="2"/>
  <c r="M54" i="2"/>
  <c r="L39" i="2"/>
  <c r="O18" i="2"/>
  <c r="R54" i="2"/>
  <c r="N54" i="2"/>
  <c r="K39" i="2"/>
  <c r="H54" i="2"/>
  <c r="P54" i="2"/>
  <c r="I18" i="2"/>
  <c r="M18" i="2"/>
  <c r="H18" i="2"/>
  <c r="P18" i="2"/>
  <c r="W39" i="2"/>
  <c r="F39" i="2"/>
  <c r="N39" i="2"/>
  <c r="J18" i="2"/>
  <c r="K18" i="2"/>
  <c r="S39" i="2"/>
  <c r="Q39" i="2"/>
  <c r="L18" i="2"/>
  <c r="T39" i="2"/>
  <c r="Q18" i="2"/>
  <c r="U39" i="2"/>
  <c r="V39" i="2"/>
  <c r="R39" i="2"/>
  <c r="V18" i="2"/>
  <c r="F10" i="1" l="1"/>
  <c r="C24" i="2"/>
  <c r="C26" i="2" s="1"/>
  <c r="C28" i="2" s="1"/>
  <c r="C43" i="2" s="1"/>
  <c r="BA29" i="2"/>
  <c r="S24" i="2"/>
  <c r="S42" i="2" s="1"/>
  <c r="AV18" i="2"/>
  <c r="AV41" i="2" s="1"/>
  <c r="T24" i="2"/>
  <c r="T42" i="2" s="1"/>
  <c r="U24" i="2"/>
  <c r="U26" i="2" s="1"/>
  <c r="U28" i="2" s="1"/>
  <c r="U43" i="2" s="1"/>
  <c r="AR43" i="2"/>
  <c r="AV52" i="2"/>
  <c r="X52" i="2"/>
  <c r="Y54" i="2" s="1"/>
  <c r="F9" i="1" s="1"/>
  <c r="X54" i="2"/>
  <c r="N24" i="2"/>
  <c r="N42" i="2" s="1"/>
  <c r="F24" i="2"/>
  <c r="F26" i="2" s="1"/>
  <c r="F28" i="2" s="1"/>
  <c r="F43" i="2" s="1"/>
  <c r="D24" i="2"/>
  <c r="D42" i="2" s="1"/>
  <c r="E24" i="2"/>
  <c r="E26" i="2" s="1"/>
  <c r="E28" i="2" s="1"/>
  <c r="E43" i="2" s="1"/>
  <c r="W24" i="2"/>
  <c r="W26" i="2" s="1"/>
  <c r="W28" i="2" s="1"/>
  <c r="W43" i="2" s="1"/>
  <c r="AV47" i="2"/>
  <c r="AV46" i="2"/>
  <c r="R24" i="2"/>
  <c r="R26" i="2" s="1"/>
  <c r="R28" i="2" s="1"/>
  <c r="R43" i="2" s="1"/>
  <c r="AY35" i="2"/>
  <c r="AQ30" i="2"/>
  <c r="AU24" i="2"/>
  <c r="AU26" i="2" s="1"/>
  <c r="AU28" i="2" s="1"/>
  <c r="AX36" i="2"/>
  <c r="AU49" i="2"/>
  <c r="AU52" i="2" s="1"/>
  <c r="T52" i="2"/>
  <c r="U54" i="2" s="1"/>
  <c r="AX13" i="2"/>
  <c r="AW37" i="2"/>
  <c r="AX7" i="2"/>
  <c r="AW16" i="2"/>
  <c r="AW32" i="2"/>
  <c r="AW33" i="2"/>
  <c r="AX14" i="2"/>
  <c r="AW38" i="2"/>
  <c r="AZ35" i="2"/>
  <c r="B26" i="2"/>
  <c r="B28" i="2" s="1"/>
  <c r="B43" i="2" s="1"/>
  <c r="B42" i="2"/>
  <c r="Q24" i="2"/>
  <c r="Q41" i="2"/>
  <c r="G24" i="2"/>
  <c r="G41" i="2"/>
  <c r="V24" i="2"/>
  <c r="V41" i="2"/>
  <c r="S26" i="2"/>
  <c r="S28" i="2" s="1"/>
  <c r="S43" i="2" s="1"/>
  <c r="P24" i="2"/>
  <c r="P41" i="2"/>
  <c r="H24" i="2"/>
  <c r="H41" i="2"/>
  <c r="AT24" i="2"/>
  <c r="AT41" i="2"/>
  <c r="C42" i="2"/>
  <c r="I24" i="2"/>
  <c r="I41" i="2"/>
  <c r="AS24" i="2"/>
  <c r="AS120" i="2" s="1"/>
  <c r="AS41" i="2"/>
  <c r="AP42" i="2"/>
  <c r="AP26" i="2"/>
  <c r="AP28" i="2" s="1"/>
  <c r="M24" i="2"/>
  <c r="M41" i="2"/>
  <c r="L24" i="2"/>
  <c r="L41" i="2"/>
  <c r="K24" i="2"/>
  <c r="K41" i="2"/>
  <c r="O24" i="2"/>
  <c r="O26" i="2" s="1"/>
  <c r="O41" i="2"/>
  <c r="J24" i="2"/>
  <c r="J41" i="2"/>
  <c r="AU42" i="2" l="1"/>
  <c r="AU30" i="2"/>
  <c r="AU84" i="2"/>
  <c r="N26" i="2"/>
  <c r="N28" i="2" s="1"/>
  <c r="N43" i="2" s="1"/>
  <c r="U42" i="2"/>
  <c r="F42" i="2"/>
  <c r="D26" i="2"/>
  <c r="D28" i="2" s="1"/>
  <c r="D43" i="2" s="1"/>
  <c r="T26" i="2"/>
  <c r="T28" i="2" s="1"/>
  <c r="T43" i="2" s="1"/>
  <c r="BB29" i="2"/>
  <c r="E42" i="2"/>
  <c r="W42" i="2"/>
  <c r="R42" i="2"/>
  <c r="AV23" i="2"/>
  <c r="AV24" i="2" s="1"/>
  <c r="AV45" i="2"/>
  <c r="AW46" i="2"/>
  <c r="AW47" i="2"/>
  <c r="W54" i="2"/>
  <c r="V54" i="2"/>
  <c r="AU120" i="2"/>
  <c r="T54" i="2"/>
  <c r="AT120" i="2"/>
  <c r="AP43" i="2"/>
  <c r="AP30" i="2"/>
  <c r="AW17" i="2"/>
  <c r="AW18" i="2" s="1"/>
  <c r="AW19" i="2"/>
  <c r="AW39" i="2"/>
  <c r="AY7" i="2"/>
  <c r="AX32" i="2"/>
  <c r="AX16" i="2"/>
  <c r="AY14" i="2"/>
  <c r="AX38" i="2"/>
  <c r="AY13" i="2"/>
  <c r="AX37" i="2"/>
  <c r="AU43" i="2"/>
  <c r="AU86" i="2"/>
  <c r="AU99" i="2" s="1"/>
  <c r="AU118" i="2" s="1"/>
  <c r="AY8" i="2"/>
  <c r="AX33" i="2"/>
  <c r="AY36" i="2"/>
  <c r="BB35" i="2"/>
  <c r="BA35" i="2"/>
  <c r="G26" i="2"/>
  <c r="G28" i="2" s="1"/>
  <c r="G43" i="2" s="1"/>
  <c r="G42" i="2"/>
  <c r="P26" i="2"/>
  <c r="P28" i="2" s="1"/>
  <c r="P43" i="2" s="1"/>
  <c r="P42" i="2"/>
  <c r="AS26" i="2"/>
  <c r="AS28" i="2" s="1"/>
  <c r="AS30" i="2" s="1"/>
  <c r="AS42" i="2"/>
  <c r="AT26" i="2"/>
  <c r="AT28" i="2" s="1"/>
  <c r="AT84" i="2" s="1"/>
  <c r="AT42" i="2"/>
  <c r="Q26" i="2"/>
  <c r="Q28" i="2" s="1"/>
  <c r="Q43" i="2" s="1"/>
  <c r="Q42" i="2"/>
  <c r="I26" i="2"/>
  <c r="I28" i="2" s="1"/>
  <c r="I43" i="2" s="1"/>
  <c r="I42" i="2"/>
  <c r="H26" i="2"/>
  <c r="H28" i="2" s="1"/>
  <c r="H43" i="2" s="1"/>
  <c r="H42" i="2"/>
  <c r="V26" i="2"/>
  <c r="V28" i="2" s="1"/>
  <c r="V43" i="2" s="1"/>
  <c r="V42" i="2"/>
  <c r="M26" i="2"/>
  <c r="M28" i="2" s="1"/>
  <c r="M43" i="2" s="1"/>
  <c r="M42" i="2"/>
  <c r="L26" i="2"/>
  <c r="L28" i="2" s="1"/>
  <c r="L43" i="2" s="1"/>
  <c r="L42" i="2"/>
  <c r="K26" i="2"/>
  <c r="K28" i="2" s="1"/>
  <c r="K43" i="2" s="1"/>
  <c r="K42" i="2"/>
  <c r="O28" i="2"/>
  <c r="O43" i="2" s="1"/>
  <c r="O42" i="2"/>
  <c r="J26" i="2"/>
  <c r="J28" i="2" s="1"/>
  <c r="J43" i="2" s="1"/>
  <c r="J42" i="2"/>
  <c r="AV26" i="2" l="1"/>
  <c r="AW23" i="2"/>
  <c r="AW45" i="2"/>
  <c r="AX46" i="2"/>
  <c r="AX47" i="2"/>
  <c r="AV42" i="2"/>
  <c r="AT43" i="2"/>
  <c r="AT30" i="2"/>
  <c r="AZ36" i="2"/>
  <c r="AZ14" i="2"/>
  <c r="AY38" i="2"/>
  <c r="AX19" i="2"/>
  <c r="AX39" i="2"/>
  <c r="AX17" i="2"/>
  <c r="AX18" i="2" s="1"/>
  <c r="AS43" i="2"/>
  <c r="AS86" i="2"/>
  <c r="AS99" i="2" s="1"/>
  <c r="AS118" i="2" s="1"/>
  <c r="AZ13" i="2"/>
  <c r="AY37" i="2"/>
  <c r="AZ8" i="2"/>
  <c r="AY33" i="2"/>
  <c r="AZ7" i="2"/>
  <c r="AY32" i="2"/>
  <c r="AY16" i="2"/>
  <c r="AW24" i="2"/>
  <c r="AW120" i="2" s="1"/>
  <c r="AW41" i="2"/>
  <c r="AV28" i="2" l="1"/>
  <c r="AX23" i="2"/>
  <c r="AX24" i="2" s="1"/>
  <c r="AX120" i="2" s="1"/>
  <c r="AX45" i="2"/>
  <c r="AY47" i="2"/>
  <c r="AY46" i="2"/>
  <c r="AX41" i="2"/>
  <c r="BA7" i="2"/>
  <c r="AZ32" i="2"/>
  <c r="AZ16" i="2"/>
  <c r="BA8" i="2"/>
  <c r="AZ33" i="2"/>
  <c r="BA14" i="2"/>
  <c r="AZ38" i="2"/>
  <c r="AY17" i="2"/>
  <c r="AY18" i="2" s="1"/>
  <c r="AY39" i="2"/>
  <c r="AY19" i="2"/>
  <c r="BA13" i="2"/>
  <c r="AZ37" i="2"/>
  <c r="BB36" i="2"/>
  <c r="BA36" i="2"/>
  <c r="AW42" i="2"/>
  <c r="AV86" i="2" l="1"/>
  <c r="AV99" i="2" s="1"/>
  <c r="AV118" i="2" s="1"/>
  <c r="AV84" i="2"/>
  <c r="AW25" i="2"/>
  <c r="AW26" i="2" s="1"/>
  <c r="AW27" i="2" s="1"/>
  <c r="AV30" i="2"/>
  <c r="AV43" i="2"/>
  <c r="AZ46" i="2"/>
  <c r="AZ47" i="2"/>
  <c r="AY23" i="2"/>
  <c r="AY24" i="2" s="1"/>
  <c r="AY120" i="2" s="1"/>
  <c r="AY45" i="2"/>
  <c r="BB14" i="2"/>
  <c r="BB38" i="2" s="1"/>
  <c r="BA38" i="2"/>
  <c r="AZ19" i="2"/>
  <c r="AZ39" i="2"/>
  <c r="AZ17" i="2"/>
  <c r="AZ18" i="2" s="1"/>
  <c r="BB7" i="2"/>
  <c r="BA32" i="2"/>
  <c r="BA16" i="2"/>
  <c r="AY41" i="2"/>
  <c r="AX42" i="2"/>
  <c r="BB8" i="2"/>
  <c r="BB33" i="2" s="1"/>
  <c r="BA33" i="2"/>
  <c r="BB13" i="2"/>
  <c r="BB37" i="2" s="1"/>
  <c r="BA37" i="2"/>
  <c r="AW28" i="2" l="1"/>
  <c r="AW30" i="2" s="1"/>
  <c r="AZ23" i="2"/>
  <c r="AZ24" i="2" s="1"/>
  <c r="AZ120" i="2" s="1"/>
  <c r="AZ45" i="2"/>
  <c r="BA47" i="2"/>
  <c r="BA46" i="2"/>
  <c r="AY42" i="2"/>
  <c r="AZ41" i="2"/>
  <c r="BA17" i="2"/>
  <c r="BA18" i="2" s="1"/>
  <c r="BA39" i="2"/>
  <c r="BA19" i="2"/>
  <c r="BB16" i="2"/>
  <c r="BB32" i="2"/>
  <c r="AW56" i="2" l="1"/>
  <c r="AX25" i="2" s="1"/>
  <c r="AX26" i="2" s="1"/>
  <c r="AX27" i="2" s="1"/>
  <c r="AW43" i="2"/>
  <c r="BB47" i="2"/>
  <c r="BB46" i="2"/>
  <c r="BA23" i="2"/>
  <c r="BA24" i="2" s="1"/>
  <c r="BA120" i="2" s="1"/>
  <c r="BA45" i="2"/>
  <c r="BA41" i="2"/>
  <c r="BB17" i="2"/>
  <c r="BB18" i="2" s="1"/>
  <c r="BB19" i="2"/>
  <c r="BB39" i="2"/>
  <c r="AZ42" i="2"/>
  <c r="AX28" i="2" l="1"/>
  <c r="AX43" i="2" s="1"/>
  <c r="AX30" i="2"/>
  <c r="BB23" i="2"/>
  <c r="BB24" i="2" s="1"/>
  <c r="BB120" i="2" s="1"/>
  <c r="BB45" i="2"/>
  <c r="AX56" i="2"/>
  <c r="AY25" i="2" s="1"/>
  <c r="AY26" i="2" s="1"/>
  <c r="AY27" i="2" s="1"/>
  <c r="BB41" i="2"/>
  <c r="BA42" i="2"/>
  <c r="AY28" i="2" l="1"/>
  <c r="BB42" i="2"/>
  <c r="AY43" i="2" l="1"/>
  <c r="AY30" i="2"/>
  <c r="AY56" i="2"/>
  <c r="AZ25" i="2" s="1"/>
  <c r="AZ26" i="2" s="1"/>
  <c r="AZ27" i="2" s="1"/>
  <c r="AZ28" i="2" l="1"/>
  <c r="AZ30" i="2" s="1"/>
  <c r="AZ43" i="2" l="1"/>
  <c r="AZ56" i="2"/>
  <c r="BA25" i="2" l="1"/>
  <c r="BA26" i="2" s="1"/>
  <c r="BA27" i="2" s="1"/>
  <c r="BA28" i="2" l="1"/>
  <c r="BA30" i="2" s="1"/>
  <c r="BA43" i="2" l="1"/>
  <c r="BA56" i="2"/>
  <c r="BB25" i="2" l="1"/>
  <c r="BB26" i="2" s="1"/>
  <c r="BB27" i="2" s="1"/>
  <c r="BB28" i="2" l="1"/>
  <c r="BB30" i="2" s="1"/>
  <c r="BB43" i="2" l="1"/>
  <c r="BC28" i="2"/>
  <c r="BD28" i="2" s="1"/>
  <c r="BE28" i="2" s="1"/>
  <c r="BF28" i="2" s="1"/>
  <c r="BG28" i="2" s="1"/>
  <c r="BH28" i="2" s="1"/>
  <c r="BI28" i="2" s="1"/>
  <c r="BJ28" i="2" s="1"/>
  <c r="BK28" i="2" s="1"/>
  <c r="BL28" i="2" s="1"/>
  <c r="BM28" i="2" s="1"/>
  <c r="BN28" i="2" s="1"/>
  <c r="BO28" i="2" s="1"/>
  <c r="BP28" i="2" s="1"/>
  <c r="BQ28" i="2" s="1"/>
  <c r="BR28" i="2" s="1"/>
  <c r="BS28" i="2" s="1"/>
  <c r="BT28" i="2" s="1"/>
  <c r="BU28" i="2" s="1"/>
  <c r="BV28" i="2" s="1"/>
  <c r="BW28" i="2" s="1"/>
  <c r="BX28" i="2" s="1"/>
  <c r="BY28" i="2" s="1"/>
  <c r="BZ28" i="2" s="1"/>
  <c r="CA28" i="2" s="1"/>
  <c r="CB28" i="2" s="1"/>
  <c r="CC28" i="2" s="1"/>
  <c r="CD28" i="2" s="1"/>
  <c r="CE28" i="2" s="1"/>
  <c r="CF28" i="2" s="1"/>
  <c r="CG28" i="2" s="1"/>
  <c r="CH28" i="2" s="1"/>
  <c r="CI28" i="2" s="1"/>
  <c r="CJ28" i="2" s="1"/>
  <c r="CK28" i="2" s="1"/>
  <c r="CL28" i="2" s="1"/>
  <c r="CM28" i="2" s="1"/>
  <c r="CN28" i="2" s="1"/>
  <c r="CO28" i="2" s="1"/>
  <c r="CP28" i="2" s="1"/>
  <c r="CQ28" i="2" s="1"/>
  <c r="CR28" i="2" s="1"/>
  <c r="CS28" i="2" s="1"/>
  <c r="CT28" i="2" s="1"/>
  <c r="CU28" i="2" s="1"/>
  <c r="CV28" i="2" s="1"/>
  <c r="CW28" i="2" s="1"/>
  <c r="CX28" i="2" s="1"/>
  <c r="CY28" i="2" s="1"/>
  <c r="CZ28" i="2" s="1"/>
  <c r="DA28" i="2" s="1"/>
  <c r="DB28" i="2" s="1"/>
  <c r="DC28" i="2" s="1"/>
  <c r="DD28" i="2" s="1"/>
  <c r="DE28" i="2" s="1"/>
  <c r="DF28" i="2" s="1"/>
  <c r="DG28" i="2" s="1"/>
  <c r="DH28" i="2" s="1"/>
  <c r="DI28" i="2" s="1"/>
  <c r="DJ28" i="2" s="1"/>
  <c r="BE10" i="2" s="1"/>
  <c r="BE12" i="2" s="1"/>
  <c r="BE13" i="2" s="1"/>
  <c r="BE14" i="2" s="1"/>
  <c r="BB56"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<sst xmlns="http://schemas.openxmlformats.org/spreadsheetml/2006/main" count="191" uniqueCount="174">
  <si>
    <t>ticket</t>
  </si>
  <si>
    <t>price</t>
  </si>
  <si>
    <t>shares</t>
  </si>
  <si>
    <t>mc</t>
  </si>
  <si>
    <t>cash</t>
  </si>
  <si>
    <t>debt</t>
  </si>
  <si>
    <t>ev</t>
  </si>
  <si>
    <t>Google Search &amp; Other</t>
  </si>
  <si>
    <t>Youtube Ads</t>
  </si>
  <si>
    <t>Google Network</t>
  </si>
  <si>
    <t>Subscriptions</t>
  </si>
  <si>
    <t>Google Cloud</t>
  </si>
  <si>
    <t>Other Bets</t>
  </si>
  <si>
    <t>Hedging gains</t>
  </si>
  <si>
    <t>Q1 2019</t>
  </si>
  <si>
    <t>Q1 2020</t>
  </si>
  <si>
    <t>Q1 2021</t>
  </si>
  <si>
    <t>Q1 2022</t>
  </si>
  <si>
    <t>Q1 2023</t>
  </si>
  <si>
    <t>Q1 2024</t>
  </si>
  <si>
    <t>Q2 2024</t>
  </si>
  <si>
    <t>Revenue</t>
  </si>
  <si>
    <t>Q2 2023</t>
  </si>
  <si>
    <t>Q3 2023</t>
  </si>
  <si>
    <t>Q4 2023</t>
  </si>
  <si>
    <t>Q2 2022</t>
  </si>
  <si>
    <t>Q3 2022</t>
  </si>
  <si>
    <t>Q4 2022</t>
  </si>
  <si>
    <t>Q2 2021</t>
  </si>
  <si>
    <t>Q3 2021</t>
  </si>
  <si>
    <t>Q4 2021</t>
  </si>
  <si>
    <t>Q2 2020</t>
  </si>
  <si>
    <t>Q3 2020</t>
  </si>
  <si>
    <t>Q4 2020</t>
  </si>
  <si>
    <t>Q2 2019</t>
  </si>
  <si>
    <t>Q3 2019</t>
  </si>
  <si>
    <t>Q4 2019</t>
  </si>
  <si>
    <t>Founded</t>
  </si>
  <si>
    <t>COGS</t>
  </si>
  <si>
    <t>Gross Profit</t>
  </si>
  <si>
    <t>R&amp;D</t>
  </si>
  <si>
    <t>S&amp;M</t>
  </si>
  <si>
    <t>G&amp;A</t>
  </si>
  <si>
    <t>Total Opex</t>
  </si>
  <si>
    <t>Operating Income</t>
  </si>
  <si>
    <t>Other Income</t>
  </si>
  <si>
    <t>Pretax Income</t>
  </si>
  <si>
    <t>Taxes</t>
  </si>
  <si>
    <t>Net Income</t>
  </si>
  <si>
    <t>Shares</t>
  </si>
  <si>
    <t>EPS</t>
  </si>
  <si>
    <t>Revenue Y/Y</t>
  </si>
  <si>
    <t>CFFO</t>
  </si>
  <si>
    <t>CAPEX</t>
  </si>
  <si>
    <t>SBC</t>
  </si>
  <si>
    <t>FCF</t>
  </si>
  <si>
    <t>FCF TTM</t>
  </si>
  <si>
    <t>net cash</t>
  </si>
  <si>
    <t>GM %</t>
  </si>
  <si>
    <t>OM %</t>
  </si>
  <si>
    <t>NM %</t>
  </si>
  <si>
    <t>European Fees</t>
  </si>
  <si>
    <t>Discount</t>
  </si>
  <si>
    <t>Maturity</t>
  </si>
  <si>
    <t>NPV</t>
  </si>
  <si>
    <t>Net cash</t>
  </si>
  <si>
    <t>EV</t>
  </si>
  <si>
    <t>Price</t>
  </si>
  <si>
    <t>Founder</t>
  </si>
  <si>
    <t>CEO</t>
  </si>
  <si>
    <t>HQ</t>
  </si>
  <si>
    <t xml:space="preserve">IPO </t>
  </si>
  <si>
    <t>Industry</t>
  </si>
  <si>
    <t>Larry Page and Sergey Brin</t>
  </si>
  <si>
    <t>Mountain View, CA, US</t>
  </si>
  <si>
    <t>Sundar Pichai</t>
  </si>
  <si>
    <t>Digital Ads, Cloud computing, Devices</t>
  </si>
  <si>
    <t>MS</t>
  </si>
  <si>
    <t>AR</t>
  </si>
  <si>
    <t>other CA</t>
  </si>
  <si>
    <t>Non-MS</t>
  </si>
  <si>
    <t>Deferred Income Taxes</t>
  </si>
  <si>
    <t>PPE</t>
  </si>
  <si>
    <t>Operating lease assets</t>
  </si>
  <si>
    <t>Goodwill</t>
  </si>
  <si>
    <t>Other Non-CA</t>
  </si>
  <si>
    <t>Total Assets</t>
  </si>
  <si>
    <t>AP</t>
  </si>
  <si>
    <t>Accrued compensation</t>
  </si>
  <si>
    <t>Accrued expenses</t>
  </si>
  <si>
    <t>Accrued revenue share</t>
  </si>
  <si>
    <t>Deferred revenue</t>
  </si>
  <si>
    <t>LT Debt</t>
  </si>
  <si>
    <t>Deferred revenue NC</t>
  </si>
  <si>
    <t>Income Taxes</t>
  </si>
  <si>
    <t>Income Taxes NC</t>
  </si>
  <si>
    <t>Operating lease liabilities</t>
  </si>
  <si>
    <t>Other LT liabilities</t>
  </si>
  <si>
    <t>Total Liabilities</t>
  </si>
  <si>
    <t>S/E</t>
  </si>
  <si>
    <t>L+ S/E</t>
  </si>
  <si>
    <t>Depreciation of PPE</t>
  </si>
  <si>
    <t>Deferred Income taxes</t>
  </si>
  <si>
    <t>Gain on debt and securities</t>
  </si>
  <si>
    <t>Other</t>
  </si>
  <si>
    <t>Other Assets</t>
  </si>
  <si>
    <t>Purchases of PPE</t>
  </si>
  <si>
    <t>Purchases of MS</t>
  </si>
  <si>
    <t>Maturities and sale of MS</t>
  </si>
  <si>
    <t>Purchases of non-MS</t>
  </si>
  <si>
    <t>Acquisitions</t>
  </si>
  <si>
    <t>Other Investing Activities</t>
  </si>
  <si>
    <t>CFFI</t>
  </si>
  <si>
    <t>Net payments of SB awards</t>
  </si>
  <si>
    <t>Repurchases of stock</t>
  </si>
  <si>
    <t>Proceeds from issuance debt</t>
  </si>
  <si>
    <t>Repayments of debt</t>
  </si>
  <si>
    <t>Proceeds from sale of entities</t>
  </si>
  <si>
    <t>CFFF</t>
  </si>
  <si>
    <t>FX</t>
  </si>
  <si>
    <t>Maturities and sale of non-MS</t>
  </si>
  <si>
    <t>ROIC</t>
  </si>
  <si>
    <t>Q3 2024</t>
  </si>
  <si>
    <t>Q4 2024</t>
  </si>
  <si>
    <t>#1 search engine</t>
  </si>
  <si>
    <t>#1 digital advertising</t>
  </si>
  <si>
    <t>#1 mobile operating systems</t>
  </si>
  <si>
    <t>Employees</t>
  </si>
  <si>
    <t>Notable Acquisitions:</t>
  </si>
  <si>
    <t>YouTube (2006): $1.65 billion.</t>
  </si>
  <si>
    <t>DoubleClick (2008): $3.1 billion (online advertising).</t>
  </si>
  <si>
    <t>Nest Labs (2014): $3.2 billion (smart home products).</t>
  </si>
  <si>
    <t>Fitbit (2021): $2.1 billion (wearable tech).</t>
  </si>
  <si>
    <t>#3 cloud computing</t>
  </si>
  <si>
    <t>Contribution Margin</t>
  </si>
  <si>
    <t>R&amp;D %</t>
  </si>
  <si>
    <t>S&amp;M %</t>
  </si>
  <si>
    <t>G&amp;A %</t>
  </si>
  <si>
    <t>Net Increase in cash</t>
  </si>
  <si>
    <t>EV/FCF</t>
  </si>
  <si>
    <t>US</t>
  </si>
  <si>
    <t>EMEA</t>
  </si>
  <si>
    <t>APAC</t>
  </si>
  <si>
    <t>Canada &amp; Latam</t>
  </si>
  <si>
    <t>Dividend Payments</t>
  </si>
  <si>
    <t>ROE</t>
  </si>
  <si>
    <t>EV/OCF</t>
  </si>
  <si>
    <t>Waymoo 200k weekly rides</t>
  </si>
  <si>
    <t>Waymo</t>
  </si>
  <si>
    <t>(in milllions)</t>
  </si>
  <si>
    <t>Rides</t>
  </si>
  <si>
    <t>W</t>
  </si>
  <si>
    <t>M</t>
  </si>
  <si>
    <t>Y</t>
  </si>
  <si>
    <t>Current Cities</t>
  </si>
  <si>
    <t>Phoenix</t>
  </si>
  <si>
    <t>San Francisco</t>
  </si>
  <si>
    <t>Los Angeles</t>
  </si>
  <si>
    <t>Austin</t>
  </si>
  <si>
    <t>Coming Soon</t>
  </si>
  <si>
    <t>Atlanta</t>
  </si>
  <si>
    <t>Miami</t>
  </si>
  <si>
    <t>Total</t>
  </si>
  <si>
    <t>200M android devices</t>
  </si>
  <si>
    <t>AVG revenue per ride</t>
  </si>
  <si>
    <t>Run Rate</t>
  </si>
  <si>
    <t>NTM</t>
  </si>
  <si>
    <t>Next Cities</t>
  </si>
  <si>
    <t>Tokyo</t>
  </si>
  <si>
    <t>New York</t>
  </si>
  <si>
    <t>Q1 2025</t>
  </si>
  <si>
    <t xml:space="preserve">Las Vegas </t>
  </si>
  <si>
    <t>San Diego</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</si>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</sst>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_);[Red]\(&quot;$&quot;#,##0.00\)"/>
    <numFmt numFmtId="164" formatCode="0.0%"/>
    <numFmt numFmtId="165" formatCode="_-[$$-409]* #,##0.00_ ;_-[$$-409]* \-#,##0.00\ ;_-[$$-409]* &quot;-&quot;??_ ;_-@_ "/>
    <numFmt numFmtId="166" formatCode="0.0\x"/>
  </numFmts>
  <fonts count="5" x14ac:knownFonts="1">
    <font>
      <sz val="11"/>
      <color theme="1"/>
      <name val="Aptos Narrow"/>
      <family val="2"/>
      <scheme val="minor"/>
    </font>
    <font>
      <sz val="10"/>
      <color theme="1"/>
      <name val="Arial"/>
      <family val="2"/>
    </font>
    <font>
      <b/>
      <sz val="10"/>
      <color theme="1"/>
      <name val="Arial"/>
      <family val="2"/>
    </font>
    <font>
      <b/>
      <sz val="10"/>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2" fillId="0" borderId="0" xfId="0" applyFont="1"/>
    <xf numFmtId="3" fontId="1" fillId="0" borderId="0" xfId="0" applyNumberFormat="1" applyFont="1"/>
    <xf numFmtId="164" fontId="1" fillId="0" borderId="0" xfId="0" applyNumberFormat="1" applyFont="1"/>
    <xf numFmtId="165" fontId="1" fillId="0" borderId="0" xfId="0" applyNumberFormat="1" applyFont="1"/>
    <xf numFmtId="3" fontId="2" fillId="0" borderId="0" xfId="0" applyNumberFormat="1" applyFont="1"/>
    <xf numFmtId="10" fontId="1" fillId="0" borderId="0" xfId="0" applyNumberFormat="1" applyFont="1"/>
    <xf numFmtId="0" fontId="1" fillId="0" borderId="0" xfId="0" applyFont="1" applyAlignment="1">
      <alignment horizontal="left"/>
    </xf>
    <xf numFmtId="0" fontId="1" fillId="0" borderId="0" xfId="0" applyFont="1" applyAlignment="1">
      <alignment horizontal="right"/>
    </xf>
    <xf numFmtId="3" fontId="1" fillId="0" borderId="0" xfId="0" applyNumberFormat="1" applyFont="1" applyAlignment="1">
      <alignment horizontal="right"/>
    </xf>
    <xf numFmtId="10" fontId="2" fillId="0" borderId="0" xfId="0" applyNumberFormat="1" applyFont="1"/>
    <xf numFmtId="166" fontId="1" fillId="0" borderId="0" xfId="0" applyNumberFormat="1" applyFont="1"/>
    <xf numFmtId="9" fontId="2" fillId="0" borderId="0" xfId="0" applyNumberFormat="1" applyFont="1"/>
    <xf numFmtId="0" fontId="1" fillId="0" borderId="0" xfId="0" applyFont="1" applyAlignment="1">
      <alignment horizontal="center" vertical="center"/>
    </xf>
    <xf numFmtId="8" fontId="1" fillId="0" borderId="0" xfId="0" applyNumberFormat="1" applyFont="1"/>
    <xf numFmtId="9" fontId="1" fillId="0" borderId="0" xfId="0" applyNumberFormat="1" applyFont="1"/>
    <xf numFmtId="4" fontId="1" fillId="0" borderId="0" xfId="0" applyNumberFormat="1" applyFont="1"/>
    <xf numFmtId="3" fontId="3" fillId="0" borderId="0" xfId="0" applyNumberFormat="1" applyFont="1"/>
    <xf numFmtId="3" fontId="4" fillId="0" borderId="0" xfId="0" applyNumberFormat="1" applyFont="1"/>
    <xf numFmtId="3" fontId="1"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5" Type="http://schemas.openxmlformats.org/officeDocument/2006/relationships/calcChain" Target="calcChain.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Revenue</a:t>
            </a:r>
            <a:r>
              <a:rPr lang="en-GB" baseline="0"/>
              <a:t> by quarter</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lotArea>
      <c:layout/>
      <c:barChart>
        <c:barDir val="col"/>
        <c:grouping val="stacked"/>
        <c:varyColors val="0"/>
        <c:ser>
          <c:idx val="0"/>
          <c:order val="0"/>
          <c:tx>
            <c:strRef>
              <c:f>model!$A$7</c:f>
              <c:strCache>
                <c:ptCount val="1"/>
                <c:pt idx="0">
                  <c:v>Google Search &amp; Other</c:v>
                </c:pt>
              </c:strCache>
            </c:strRef>
          </c:tx>
          <c:spPr>
            <a:solidFill>
              <a:schemeClr val="accent1"/>
            </a:solidFill>
            <a:ln>
              <a:noFill/>
            </a:ln>
            <a:effectLst/>
          </c:spPr>
          <c:invertIfNegative val="0"/>
          <c:cat>
            <c:strRef>
              <c:f>model!$B$1:$Y$1</c:f>
              <c:strCache>
                <c:ptCount val="24"/>
                <c:pt idx="0">
                  <c:v>Q1 2019</c:v>
                </c:pt>
                <c:pt idx="1">
                  <c:v>Q2 2019</c:v>
                </c:pt>
                <c:pt idx="2">
                  <c:v>Q3 2019</c:v>
                </c:pt>
                <c:pt idx="3">
                  <c:v>Q4 2019</c:v>
                </c:pt>
                <c:pt idx="4">
                  <c:v>Q1 2020</c:v>
                </c:pt>
                <c:pt idx="5">
                  <c:v>Q2 2020</c:v>
                </c:pt>
                <c:pt idx="6">
                  <c:v>Q3 2020</c:v>
                </c:pt>
                <c:pt idx="7">
                  <c:v>Q4 2020</c:v>
                </c:pt>
                <c:pt idx="8">
                  <c:v>Q1 2021</c:v>
                </c:pt>
                <c:pt idx="9">
                  <c:v>Q2 2021</c:v>
                </c:pt>
                <c:pt idx="10">
                  <c:v>Q3 2021</c:v>
                </c:pt>
                <c:pt idx="11">
                  <c:v>Q4 2021</c:v>
                </c:pt>
                <c:pt idx="12">
                  <c:v>Q1 2022</c:v>
                </c:pt>
                <c:pt idx="13">
                  <c:v>Q2 2022</c:v>
                </c:pt>
                <c:pt idx="14">
                  <c:v>Q3 2022</c:v>
                </c:pt>
                <c:pt idx="15">
                  <c:v>Q4 2022</c:v>
                </c:pt>
                <c:pt idx="16">
                  <c:v>Q1 2023</c:v>
                </c:pt>
                <c:pt idx="17">
                  <c:v>Q2 2023</c:v>
                </c:pt>
                <c:pt idx="18">
                  <c:v>Q3 2023</c:v>
                </c:pt>
                <c:pt idx="19">
                  <c:v>Q4 2023</c:v>
                </c:pt>
                <c:pt idx="20">
                  <c:v>Q1 2024</c:v>
                </c:pt>
                <c:pt idx="21">
                  <c:v>Q2 2024</c:v>
                </c:pt>
                <c:pt idx="22">
                  <c:v>Q3 2024</c:v>
                </c:pt>
                <c:pt idx="23">
                  <c:v>Q4 2024</c:v>
                </c:pt>
              </c:strCache>
            </c:strRef>
          </c:cat>
          <c:val>
            <c:numRef>
              <c:f>model!$B$7:$Y$7</c:f>
              <c:numCache>
                <c:formatCode>#,##0</c:formatCode>
                <c:ptCount val="24"/>
                <c:pt idx="0">
                  <c:v>22547</c:v>
                </c:pt>
                <c:pt idx="1">
                  <c:v>23642</c:v>
                </c:pt>
                <c:pt idx="2">
                  <c:v>24741</c:v>
                </c:pt>
                <c:pt idx="3">
                  <c:v>27185</c:v>
                </c:pt>
                <c:pt idx="4">
                  <c:v>24502</c:v>
                </c:pt>
                <c:pt idx="5">
                  <c:v>21319</c:v>
                </c:pt>
                <c:pt idx="6">
                  <c:v>26338</c:v>
                </c:pt>
                <c:pt idx="7">
                  <c:v>31903</c:v>
                </c:pt>
                <c:pt idx="8">
                  <c:v>31879</c:v>
                </c:pt>
                <c:pt idx="9">
                  <c:v>35845</c:v>
                </c:pt>
                <c:pt idx="10">
                  <c:v>37926</c:v>
                </c:pt>
                <c:pt idx="11">
                  <c:v>43301</c:v>
                </c:pt>
                <c:pt idx="12">
                  <c:v>39618</c:v>
                </c:pt>
                <c:pt idx="13">
                  <c:v>40689</c:v>
                </c:pt>
                <c:pt idx="14">
                  <c:v>39539</c:v>
                </c:pt>
                <c:pt idx="15">
                  <c:v>42604</c:v>
                </c:pt>
                <c:pt idx="16">
                  <c:v>40359</c:v>
                </c:pt>
                <c:pt idx="17">
                  <c:v>42628</c:v>
                </c:pt>
                <c:pt idx="18">
                  <c:v>44026</c:v>
                </c:pt>
                <c:pt idx="19">
                  <c:v>48020</c:v>
                </c:pt>
                <c:pt idx="20">
                  <c:v>46156</c:v>
                </c:pt>
                <c:pt idx="21">
                  <c:v>48509</c:v>
                </c:pt>
                <c:pt idx="22">
                  <c:v>49385</c:v>
                </c:pt>
                <c:pt idx="23">
                  <c:v>54034</c:v>
                </c:pt>
              </c:numCache>
            </c:numRef>
          </c:val>
          <c:extLst>
            <c:ext xmlns:c16="http://schemas.microsoft.com/office/drawing/2014/chart" uri="{C3380CC4-5D6E-409C-BE32-E72D297353CC}">
              <c16:uniqueId val="{00000000-0DC7-4577-86A2-20A1C6B97163}"/>
            </c:ext>
          </c:extLst>
        </c:ser>
        <c:ser>
          <c:idx val="1"/>
          <c:order val="1"/>
          <c:tx>
            <c:strRef>
              <c:f>model!$A$8</c:f>
              <c:strCache>
                <c:ptCount val="1"/>
                <c:pt idx="0">
                  <c:v>Youtube Ads</c:v>
                </c:pt>
              </c:strCache>
            </c:strRef>
          </c:tx>
          <c:spPr>
            <a:solidFill>
              <a:schemeClr val="accent2"/>
            </a:solidFill>
            <a:ln>
              <a:noFill/>
            </a:ln>
            <a:effectLst/>
          </c:spPr>
          <c:invertIfNegative val="0"/>
          <c:cat>
            <c:strRef>
              <c:f>model!$B$1:$Y$1</c:f>
              <c:strCache>
                <c:ptCount val="24"/>
                <c:pt idx="0">
                  <c:v>Q1 2019</c:v>
                </c:pt>
                <c:pt idx="1">
                  <c:v>Q2 2019</c:v>
                </c:pt>
                <c:pt idx="2">
                  <c:v>Q3 2019</c:v>
                </c:pt>
                <c:pt idx="3">
                  <c:v>Q4 2019</c:v>
                </c:pt>
                <c:pt idx="4">
                  <c:v>Q1 2020</c:v>
                </c:pt>
                <c:pt idx="5">
                  <c:v>Q2 2020</c:v>
                </c:pt>
                <c:pt idx="6">
                  <c:v>Q3 2020</c:v>
                </c:pt>
                <c:pt idx="7">
                  <c:v>Q4 2020</c:v>
                </c:pt>
                <c:pt idx="8">
                  <c:v>Q1 2021</c:v>
                </c:pt>
                <c:pt idx="9">
                  <c:v>Q2 2021</c:v>
                </c:pt>
                <c:pt idx="10">
                  <c:v>Q3 2021</c:v>
                </c:pt>
                <c:pt idx="11">
                  <c:v>Q4 2021</c:v>
                </c:pt>
                <c:pt idx="12">
                  <c:v>Q1 2022</c:v>
                </c:pt>
                <c:pt idx="13">
                  <c:v>Q2 2022</c:v>
                </c:pt>
                <c:pt idx="14">
                  <c:v>Q3 2022</c:v>
                </c:pt>
                <c:pt idx="15">
                  <c:v>Q4 2022</c:v>
                </c:pt>
                <c:pt idx="16">
                  <c:v>Q1 2023</c:v>
                </c:pt>
                <c:pt idx="17">
                  <c:v>Q2 2023</c:v>
                </c:pt>
                <c:pt idx="18">
                  <c:v>Q3 2023</c:v>
                </c:pt>
                <c:pt idx="19">
                  <c:v>Q4 2023</c:v>
                </c:pt>
                <c:pt idx="20">
                  <c:v>Q1 2024</c:v>
                </c:pt>
                <c:pt idx="21">
                  <c:v>Q2 2024</c:v>
                </c:pt>
                <c:pt idx="22">
                  <c:v>Q3 2024</c:v>
                </c:pt>
                <c:pt idx="23">
                  <c:v>Q4 2024</c:v>
                </c:pt>
              </c:strCache>
            </c:strRef>
          </c:cat>
          <c:val>
            <c:numRef>
              <c:f>model!$B$8:$Y$8</c:f>
              <c:numCache>
                <c:formatCode>#,##0</c:formatCode>
                <c:ptCount val="24"/>
                <c:pt idx="0">
                  <c:v>3025</c:v>
                </c:pt>
                <c:pt idx="1">
                  <c:v>3603</c:v>
                </c:pt>
                <c:pt idx="2">
                  <c:v>3804</c:v>
                </c:pt>
                <c:pt idx="3">
                  <c:v>4717</c:v>
                </c:pt>
                <c:pt idx="4">
                  <c:v>4038</c:v>
                </c:pt>
                <c:pt idx="5">
                  <c:v>3812</c:v>
                </c:pt>
                <c:pt idx="6">
                  <c:v>5037</c:v>
                </c:pt>
                <c:pt idx="7">
                  <c:v>6885</c:v>
                </c:pt>
                <c:pt idx="8">
                  <c:v>6005</c:v>
                </c:pt>
                <c:pt idx="9">
                  <c:v>7002</c:v>
                </c:pt>
                <c:pt idx="10">
                  <c:v>7205</c:v>
                </c:pt>
                <c:pt idx="11">
                  <c:v>8633</c:v>
                </c:pt>
                <c:pt idx="12">
                  <c:v>6869</c:v>
                </c:pt>
                <c:pt idx="13">
                  <c:v>7340</c:v>
                </c:pt>
                <c:pt idx="14">
                  <c:v>7071</c:v>
                </c:pt>
                <c:pt idx="15">
                  <c:v>7963</c:v>
                </c:pt>
                <c:pt idx="16">
                  <c:v>6693</c:v>
                </c:pt>
                <c:pt idx="17">
                  <c:v>7665</c:v>
                </c:pt>
                <c:pt idx="18">
                  <c:v>7952</c:v>
                </c:pt>
                <c:pt idx="19">
                  <c:v>9200</c:v>
                </c:pt>
                <c:pt idx="20">
                  <c:v>8090</c:v>
                </c:pt>
                <c:pt idx="21">
                  <c:v>8663</c:v>
                </c:pt>
                <c:pt idx="22">
                  <c:v>8921</c:v>
                </c:pt>
                <c:pt idx="23">
                  <c:v>10473</c:v>
                </c:pt>
              </c:numCache>
            </c:numRef>
          </c:val>
          <c:extLst>
            <c:ext xmlns:c16="http://schemas.microsoft.com/office/drawing/2014/chart" uri="{C3380CC4-5D6E-409C-BE32-E72D297353CC}">
              <c16:uniqueId val="{00000001-0DC7-4577-86A2-20A1C6B97163}"/>
            </c:ext>
          </c:extLst>
        </c:ser>
        <c:ser>
          <c:idx val="2"/>
          <c:order val="2"/>
          <c:tx>
            <c:strRef>
              <c:f>model!$A$9</c:f>
              <c:strCache>
                <c:ptCount val="1"/>
                <c:pt idx="0">
                  <c:v>Google Network</c:v>
                </c:pt>
              </c:strCache>
            </c:strRef>
          </c:tx>
          <c:spPr>
            <a:solidFill>
              <a:schemeClr val="accent3"/>
            </a:solidFill>
            <a:ln>
              <a:noFill/>
            </a:ln>
            <a:effectLst/>
          </c:spPr>
          <c:invertIfNegative val="0"/>
          <c:cat>
            <c:strRef>
              <c:f>model!$B$1:$Y$1</c:f>
              <c:strCache>
                <c:ptCount val="24"/>
                <c:pt idx="0">
                  <c:v>Q1 2019</c:v>
                </c:pt>
                <c:pt idx="1">
                  <c:v>Q2 2019</c:v>
                </c:pt>
                <c:pt idx="2">
                  <c:v>Q3 2019</c:v>
                </c:pt>
                <c:pt idx="3">
                  <c:v>Q4 2019</c:v>
                </c:pt>
                <c:pt idx="4">
                  <c:v>Q1 2020</c:v>
                </c:pt>
                <c:pt idx="5">
                  <c:v>Q2 2020</c:v>
                </c:pt>
                <c:pt idx="6">
                  <c:v>Q3 2020</c:v>
                </c:pt>
                <c:pt idx="7">
                  <c:v>Q4 2020</c:v>
                </c:pt>
                <c:pt idx="8">
                  <c:v>Q1 2021</c:v>
                </c:pt>
                <c:pt idx="9">
                  <c:v>Q2 2021</c:v>
                </c:pt>
                <c:pt idx="10">
                  <c:v>Q3 2021</c:v>
                </c:pt>
                <c:pt idx="11">
                  <c:v>Q4 2021</c:v>
                </c:pt>
                <c:pt idx="12">
                  <c:v>Q1 2022</c:v>
                </c:pt>
                <c:pt idx="13">
                  <c:v>Q2 2022</c:v>
                </c:pt>
                <c:pt idx="14">
                  <c:v>Q3 2022</c:v>
                </c:pt>
                <c:pt idx="15">
                  <c:v>Q4 2022</c:v>
                </c:pt>
                <c:pt idx="16">
                  <c:v>Q1 2023</c:v>
                </c:pt>
                <c:pt idx="17">
                  <c:v>Q2 2023</c:v>
                </c:pt>
                <c:pt idx="18">
                  <c:v>Q3 2023</c:v>
                </c:pt>
                <c:pt idx="19">
                  <c:v>Q4 2023</c:v>
                </c:pt>
                <c:pt idx="20">
                  <c:v>Q1 2024</c:v>
                </c:pt>
                <c:pt idx="21">
                  <c:v>Q2 2024</c:v>
                </c:pt>
                <c:pt idx="22">
                  <c:v>Q3 2024</c:v>
                </c:pt>
                <c:pt idx="23">
                  <c:v>Q4 2024</c:v>
                </c:pt>
              </c:strCache>
            </c:strRef>
          </c:cat>
          <c:val>
            <c:numRef>
              <c:f>model!$B$9:$Y$9</c:f>
              <c:numCache>
                <c:formatCode>#,##0</c:formatCode>
                <c:ptCount val="24"/>
                <c:pt idx="0">
                  <c:v>5015</c:v>
                </c:pt>
                <c:pt idx="1">
                  <c:v>5249</c:v>
                </c:pt>
                <c:pt idx="2">
                  <c:v>5251</c:v>
                </c:pt>
                <c:pt idx="3">
                  <c:v>6032</c:v>
                </c:pt>
                <c:pt idx="4">
                  <c:v>5223</c:v>
                </c:pt>
                <c:pt idx="5">
                  <c:v>4736</c:v>
                </c:pt>
                <c:pt idx="6">
                  <c:v>5720</c:v>
                </c:pt>
                <c:pt idx="7">
                  <c:v>7411</c:v>
                </c:pt>
                <c:pt idx="8">
                  <c:v>6800</c:v>
                </c:pt>
                <c:pt idx="9">
                  <c:v>7597</c:v>
                </c:pt>
                <c:pt idx="10">
                  <c:v>7999</c:v>
                </c:pt>
                <c:pt idx="11">
                  <c:v>9305</c:v>
                </c:pt>
                <c:pt idx="12">
                  <c:v>8174</c:v>
                </c:pt>
                <c:pt idx="13">
                  <c:v>8259</c:v>
                </c:pt>
                <c:pt idx="14">
                  <c:v>7872</c:v>
                </c:pt>
                <c:pt idx="15">
                  <c:v>8475</c:v>
                </c:pt>
                <c:pt idx="16">
                  <c:v>7496</c:v>
                </c:pt>
                <c:pt idx="17">
                  <c:v>7850</c:v>
                </c:pt>
                <c:pt idx="18">
                  <c:v>7669</c:v>
                </c:pt>
                <c:pt idx="19">
                  <c:v>8297</c:v>
                </c:pt>
                <c:pt idx="20">
                  <c:v>7413</c:v>
                </c:pt>
                <c:pt idx="21">
                  <c:v>7444</c:v>
                </c:pt>
                <c:pt idx="22">
                  <c:v>7548</c:v>
                </c:pt>
                <c:pt idx="23">
                  <c:v>7954</c:v>
                </c:pt>
              </c:numCache>
            </c:numRef>
          </c:val>
          <c:extLst>
            <c:ext xmlns:c16="http://schemas.microsoft.com/office/drawing/2014/chart" uri="{C3380CC4-5D6E-409C-BE32-E72D297353CC}">
              <c16:uniqueId val="{00000002-0DC7-4577-86A2-20A1C6B97163}"/>
            </c:ext>
          </c:extLst>
        </c:ser>
        <c:ser>
          <c:idx val="3"/>
          <c:order val="3"/>
          <c:tx>
            <c:strRef>
              <c:f>model!$A$10</c:f>
              <c:strCache>
                <c:ptCount val="1"/>
                <c:pt idx="0">
                  <c:v>Subscriptions</c:v>
                </c:pt>
              </c:strCache>
            </c:strRef>
          </c:tx>
          <c:spPr>
            <a:solidFill>
              <a:schemeClr val="accent4"/>
            </a:solidFill>
            <a:ln>
              <a:noFill/>
            </a:ln>
            <a:effectLst/>
          </c:spPr>
          <c:invertIfNegative val="0"/>
          <c:cat>
            <c:strRef>
              <c:f>model!$B$1:$Y$1</c:f>
              <c:strCache>
                <c:ptCount val="24"/>
                <c:pt idx="0">
                  <c:v>Q1 2019</c:v>
                </c:pt>
                <c:pt idx="1">
                  <c:v>Q2 2019</c:v>
                </c:pt>
                <c:pt idx="2">
                  <c:v>Q3 2019</c:v>
                </c:pt>
                <c:pt idx="3">
                  <c:v>Q4 2019</c:v>
                </c:pt>
                <c:pt idx="4">
                  <c:v>Q1 2020</c:v>
                </c:pt>
                <c:pt idx="5">
                  <c:v>Q2 2020</c:v>
                </c:pt>
                <c:pt idx="6">
                  <c:v>Q3 2020</c:v>
                </c:pt>
                <c:pt idx="7">
                  <c:v>Q4 2020</c:v>
                </c:pt>
                <c:pt idx="8">
                  <c:v>Q1 2021</c:v>
                </c:pt>
                <c:pt idx="9">
                  <c:v>Q2 2021</c:v>
                </c:pt>
                <c:pt idx="10">
                  <c:v>Q3 2021</c:v>
                </c:pt>
                <c:pt idx="11">
                  <c:v>Q4 2021</c:v>
                </c:pt>
                <c:pt idx="12">
                  <c:v>Q1 2022</c:v>
                </c:pt>
                <c:pt idx="13">
                  <c:v>Q2 2022</c:v>
                </c:pt>
                <c:pt idx="14">
                  <c:v>Q3 2022</c:v>
                </c:pt>
                <c:pt idx="15">
                  <c:v>Q4 2022</c:v>
                </c:pt>
                <c:pt idx="16">
                  <c:v>Q1 2023</c:v>
                </c:pt>
                <c:pt idx="17">
                  <c:v>Q2 2023</c:v>
                </c:pt>
                <c:pt idx="18">
                  <c:v>Q3 2023</c:v>
                </c:pt>
                <c:pt idx="19">
                  <c:v>Q4 2023</c:v>
                </c:pt>
                <c:pt idx="20">
                  <c:v>Q1 2024</c:v>
                </c:pt>
                <c:pt idx="21">
                  <c:v>Q2 2024</c:v>
                </c:pt>
                <c:pt idx="22">
                  <c:v>Q3 2024</c:v>
                </c:pt>
                <c:pt idx="23">
                  <c:v>Q4 2024</c:v>
                </c:pt>
              </c:strCache>
            </c:strRef>
          </c:cat>
          <c:val>
            <c:numRef>
              <c:f>model!$B$10:$Y$10</c:f>
              <c:numCache>
                <c:formatCode>#,##0</c:formatCode>
                <c:ptCount val="24"/>
                <c:pt idx="0">
                  <c:v>3620</c:v>
                </c:pt>
                <c:pt idx="1">
                  <c:v>4080</c:v>
                </c:pt>
                <c:pt idx="2">
                  <c:v>4050</c:v>
                </c:pt>
                <c:pt idx="3">
                  <c:v>5264</c:v>
                </c:pt>
                <c:pt idx="4">
                  <c:v>4435</c:v>
                </c:pt>
                <c:pt idx="5">
                  <c:v>5124</c:v>
                </c:pt>
                <c:pt idx="6">
                  <c:v>5478</c:v>
                </c:pt>
                <c:pt idx="7">
                  <c:v>6674</c:v>
                </c:pt>
                <c:pt idx="8">
                  <c:v>6494</c:v>
                </c:pt>
                <c:pt idx="9">
                  <c:v>6623</c:v>
                </c:pt>
                <c:pt idx="10">
                  <c:v>6754</c:v>
                </c:pt>
                <c:pt idx="11">
                  <c:v>8161</c:v>
                </c:pt>
                <c:pt idx="12">
                  <c:v>6811</c:v>
                </c:pt>
                <c:pt idx="13">
                  <c:v>6553</c:v>
                </c:pt>
                <c:pt idx="14">
                  <c:v>6895</c:v>
                </c:pt>
                <c:pt idx="15">
                  <c:v>8796</c:v>
                </c:pt>
                <c:pt idx="16">
                  <c:v>7413</c:v>
                </c:pt>
                <c:pt idx="17">
                  <c:v>8142</c:v>
                </c:pt>
                <c:pt idx="18">
                  <c:v>8339</c:v>
                </c:pt>
                <c:pt idx="19">
                  <c:v>10794</c:v>
                </c:pt>
                <c:pt idx="20">
                  <c:v>8739</c:v>
                </c:pt>
                <c:pt idx="21">
                  <c:v>9312</c:v>
                </c:pt>
                <c:pt idx="22">
                  <c:v>10656</c:v>
                </c:pt>
                <c:pt idx="23">
                  <c:v>11633</c:v>
                </c:pt>
              </c:numCache>
            </c:numRef>
          </c:val>
          <c:extLst>
            <c:ext xmlns:c16="http://schemas.microsoft.com/office/drawing/2014/chart" uri="{C3380CC4-5D6E-409C-BE32-E72D297353CC}">
              <c16:uniqueId val="{00000003-0DC7-4577-86A2-20A1C6B97163}"/>
            </c:ext>
          </c:extLst>
        </c:ser>
        <c:ser>
          <c:idx val="4"/>
          <c:order val="4"/>
          <c:tx>
            <c:strRef>
              <c:f>model!$A$11</c:f>
              <c:strCache>
                <c:ptCount val="1"/>
                <c:pt idx="0">
                  <c:v>Google Cloud</c:v>
                </c:pt>
              </c:strCache>
            </c:strRef>
          </c:tx>
          <c:spPr>
            <a:solidFill>
              <a:schemeClr val="accent5"/>
            </a:solidFill>
            <a:ln>
              <a:noFill/>
            </a:ln>
            <a:effectLst/>
          </c:spPr>
          <c:invertIfNegative val="0"/>
          <c:cat>
            <c:strRef>
              <c:f>model!$B$1:$Y$1</c:f>
              <c:strCache>
                <c:ptCount val="24"/>
                <c:pt idx="0">
                  <c:v>Q1 2019</c:v>
                </c:pt>
                <c:pt idx="1">
                  <c:v>Q2 2019</c:v>
                </c:pt>
                <c:pt idx="2">
                  <c:v>Q3 2019</c:v>
                </c:pt>
                <c:pt idx="3">
                  <c:v>Q4 2019</c:v>
                </c:pt>
                <c:pt idx="4">
                  <c:v>Q1 2020</c:v>
                </c:pt>
                <c:pt idx="5">
                  <c:v>Q2 2020</c:v>
                </c:pt>
                <c:pt idx="6">
                  <c:v>Q3 2020</c:v>
                </c:pt>
                <c:pt idx="7">
                  <c:v>Q4 2020</c:v>
                </c:pt>
                <c:pt idx="8">
                  <c:v>Q1 2021</c:v>
                </c:pt>
                <c:pt idx="9">
                  <c:v>Q2 2021</c:v>
                </c:pt>
                <c:pt idx="10">
                  <c:v>Q3 2021</c:v>
                </c:pt>
                <c:pt idx="11">
                  <c:v>Q4 2021</c:v>
                </c:pt>
                <c:pt idx="12">
                  <c:v>Q1 2022</c:v>
                </c:pt>
                <c:pt idx="13">
                  <c:v>Q2 2022</c:v>
                </c:pt>
                <c:pt idx="14">
                  <c:v>Q3 2022</c:v>
                </c:pt>
                <c:pt idx="15">
                  <c:v>Q4 2022</c:v>
                </c:pt>
                <c:pt idx="16">
                  <c:v>Q1 2023</c:v>
                </c:pt>
                <c:pt idx="17">
                  <c:v>Q2 2023</c:v>
                </c:pt>
                <c:pt idx="18">
                  <c:v>Q3 2023</c:v>
                </c:pt>
                <c:pt idx="19">
                  <c:v>Q4 2023</c:v>
                </c:pt>
                <c:pt idx="20">
                  <c:v>Q1 2024</c:v>
                </c:pt>
                <c:pt idx="21">
                  <c:v>Q2 2024</c:v>
                </c:pt>
                <c:pt idx="22">
                  <c:v>Q3 2024</c:v>
                </c:pt>
                <c:pt idx="23">
                  <c:v>Q4 2024</c:v>
                </c:pt>
              </c:strCache>
            </c:strRef>
          </c:cat>
          <c:val>
            <c:numRef>
              <c:f>model!$B$11:$Y$11</c:f>
              <c:numCache>
                <c:formatCode>#,##0</c:formatCode>
                <c:ptCount val="24"/>
                <c:pt idx="0">
                  <c:v>1825</c:v>
                </c:pt>
                <c:pt idx="1">
                  <c:v>2100</c:v>
                </c:pt>
                <c:pt idx="2">
                  <c:v>2379</c:v>
                </c:pt>
                <c:pt idx="3">
                  <c:v>2614</c:v>
                </c:pt>
                <c:pt idx="4">
                  <c:v>2777</c:v>
                </c:pt>
                <c:pt idx="5">
                  <c:v>3007</c:v>
                </c:pt>
                <c:pt idx="6">
                  <c:v>3444</c:v>
                </c:pt>
                <c:pt idx="7">
                  <c:v>3831</c:v>
                </c:pt>
                <c:pt idx="8">
                  <c:v>4047</c:v>
                </c:pt>
                <c:pt idx="9">
                  <c:v>4628</c:v>
                </c:pt>
                <c:pt idx="10">
                  <c:v>4990</c:v>
                </c:pt>
                <c:pt idx="11">
                  <c:v>5541</c:v>
                </c:pt>
                <c:pt idx="12">
                  <c:v>5821</c:v>
                </c:pt>
                <c:pt idx="13">
                  <c:v>6276</c:v>
                </c:pt>
                <c:pt idx="14">
                  <c:v>6868</c:v>
                </c:pt>
                <c:pt idx="15">
                  <c:v>7315</c:v>
                </c:pt>
                <c:pt idx="16">
                  <c:v>7454</c:v>
                </c:pt>
                <c:pt idx="17">
                  <c:v>8031</c:v>
                </c:pt>
                <c:pt idx="18">
                  <c:v>8411</c:v>
                </c:pt>
                <c:pt idx="19">
                  <c:v>9192</c:v>
                </c:pt>
                <c:pt idx="20">
                  <c:v>9574</c:v>
                </c:pt>
                <c:pt idx="21">
                  <c:v>10347</c:v>
                </c:pt>
                <c:pt idx="22">
                  <c:v>11353</c:v>
                </c:pt>
                <c:pt idx="23">
                  <c:v>11955</c:v>
                </c:pt>
              </c:numCache>
            </c:numRef>
          </c:val>
          <c:extLst>
            <c:ext xmlns:c16="http://schemas.microsoft.com/office/drawing/2014/chart" uri="{C3380CC4-5D6E-409C-BE32-E72D297353CC}">
              <c16:uniqueId val="{00000004-0DC7-4577-86A2-20A1C6B97163}"/>
            </c:ext>
          </c:extLst>
        </c:ser>
        <c:dLbls>
          <c:showLegendKey val="0"/>
          <c:showVal val="0"/>
          <c:showCatName val="0"/>
          <c:showSerName val="0"/>
          <c:showPercent val="0"/>
          <c:showBubbleSize val="0"/>
        </c:dLbls>
        <c:gapWidth val="150"/>
        <c:overlap val="100"/>
        <c:axId val="95363360"/>
        <c:axId val="95370080"/>
      </c:barChart>
      <c:catAx>
        <c:axId val="953633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370080"/>
        <c:crosses val="autoZero"/>
        <c:auto val="1"/>
        <c:lblAlgn val="ctr"/>
        <c:lblOffset val="100"/>
        <c:noMultiLvlLbl val="0"/>
      </c:catAx>
      <c:valAx>
        <c:axId val="9537008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3633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FCF TTM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model!$A$54</c:f>
              <c:strCache>
                <c:ptCount val="1"/>
                <c:pt idx="0">
                  <c:v>FCF TTM</c:v>
                </c:pt>
              </c:strCache>
            </c:strRef>
          </c:tx>
          <c:spPr>
            <a:solidFill>
              <a:schemeClr val="accent1"/>
            </a:solidFill>
            <a:ln>
              <a:noFill/>
            </a:ln>
            <a:effectLst/>
          </c:spPr>
          <c:invertIfNegative val="0"/>
          <c:cat>
            <c:strRef>
              <c:f>model!$E$1:$Y$1</c:f>
              <c:strCache>
                <c:ptCount val="21"/>
                <c:pt idx="0">
                  <c:v>Q4 2019</c:v>
                </c:pt>
                <c:pt idx="1">
                  <c:v>Q1 2020</c:v>
                </c:pt>
                <c:pt idx="2">
                  <c:v>Q2 2020</c:v>
                </c:pt>
                <c:pt idx="3">
                  <c:v>Q3 2020</c:v>
                </c:pt>
                <c:pt idx="4">
                  <c:v>Q4 2020</c:v>
                </c:pt>
                <c:pt idx="5">
                  <c:v>Q1 2021</c:v>
                </c:pt>
                <c:pt idx="6">
                  <c:v>Q2 2021</c:v>
                </c:pt>
                <c:pt idx="7">
                  <c:v>Q3 2021</c:v>
                </c:pt>
                <c:pt idx="8">
                  <c:v>Q4 2021</c:v>
                </c:pt>
                <c:pt idx="9">
                  <c:v>Q1 2022</c:v>
                </c:pt>
                <c:pt idx="10">
                  <c:v>Q2 2022</c:v>
                </c:pt>
                <c:pt idx="11">
                  <c:v>Q3 2022</c:v>
                </c:pt>
                <c:pt idx="12">
                  <c:v>Q4 2022</c:v>
                </c:pt>
                <c:pt idx="13">
                  <c:v>Q1 2023</c:v>
                </c:pt>
                <c:pt idx="14">
                  <c:v>Q2 2023</c:v>
                </c:pt>
                <c:pt idx="15">
                  <c:v>Q3 2023</c:v>
                </c:pt>
                <c:pt idx="16">
                  <c:v>Q4 2023</c:v>
                </c:pt>
                <c:pt idx="17">
                  <c:v>Q1 2024</c:v>
                </c:pt>
                <c:pt idx="18">
                  <c:v>Q2 2024</c:v>
                </c:pt>
                <c:pt idx="19">
                  <c:v>Q3 2024</c:v>
                </c:pt>
                <c:pt idx="20">
                  <c:v>Q4 2024</c:v>
                </c:pt>
              </c:strCache>
            </c:strRef>
          </c:cat>
          <c:val>
            <c:numRef>
              <c:f>model!$E$54:$Y$54</c:f>
              <c:numCache>
                <c:formatCode>#,##0</c:formatCode>
                <c:ptCount val="21"/>
                <c:pt idx="0">
                  <c:v>30972</c:v>
                </c:pt>
                <c:pt idx="1">
                  <c:v>29056</c:v>
                </c:pt>
                <c:pt idx="2">
                  <c:v>31157</c:v>
                </c:pt>
                <c:pt idx="3">
                  <c:v>34020</c:v>
                </c:pt>
                <c:pt idx="4">
                  <c:v>42843</c:v>
                </c:pt>
                <c:pt idx="5">
                  <c:v>50744</c:v>
                </c:pt>
                <c:pt idx="6">
                  <c:v>58536</c:v>
                </c:pt>
                <c:pt idx="7">
                  <c:v>65659</c:v>
                </c:pt>
                <c:pt idx="8">
                  <c:v>67012</c:v>
                </c:pt>
                <c:pt idx="9">
                  <c:v>68985</c:v>
                </c:pt>
                <c:pt idx="10">
                  <c:v>65185</c:v>
                </c:pt>
                <c:pt idx="11">
                  <c:v>62542</c:v>
                </c:pt>
                <c:pt idx="12">
                  <c:v>60010</c:v>
                </c:pt>
                <c:pt idx="13">
                  <c:v>61910</c:v>
                </c:pt>
                <c:pt idx="14">
                  <c:v>71094</c:v>
                </c:pt>
                <c:pt idx="15">
                  <c:v>77618</c:v>
                </c:pt>
                <c:pt idx="16">
                  <c:v>69495</c:v>
                </c:pt>
                <c:pt idx="17">
                  <c:v>69111</c:v>
                </c:pt>
                <c:pt idx="18">
                  <c:v>60787</c:v>
                </c:pt>
                <c:pt idx="19">
                  <c:v>55823</c:v>
                </c:pt>
                <c:pt idx="20">
                  <c:v>0</c:v>
                </c:pt>
              </c:numCache>
            </c:numRef>
          </c:val>
          <c:extLst>
            <c:ext xmlns:c16="http://schemas.microsoft.com/office/drawing/2014/chart" uri="{C3380CC4-5D6E-409C-BE32-E72D297353CC}">
              <c16:uniqueId val="{00000000-F70C-4E76-9917-BC2DCFB708F7}"/>
            </c:ext>
          </c:extLst>
        </c:ser>
        <c:dLbls>
          <c:showLegendKey val="0"/>
          <c:showVal val="0"/>
          <c:showCatName val="0"/>
          <c:showSerName val="0"/>
          <c:showPercent val="0"/>
          <c:showBubbleSize val="0"/>
        </c:dLbls>
        <c:gapWidth val="219"/>
        <c:overlap val="-27"/>
        <c:axId val="1316556512"/>
        <c:axId val="1316551712"/>
      </c:barChart>
      <c:catAx>
        <c:axId val="1316556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6551712"/>
        <c:crosses val="autoZero"/>
        <c:auto val="1"/>
        <c:lblAlgn val="ctr"/>
        <c:lblOffset val="100"/>
        <c:noMultiLvlLbl val="0"/>
      </c:catAx>
      <c:valAx>
        <c:axId val="131655171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65565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Google Operating Margin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model!$A$42</c:f>
              <c:strCache>
                <c:ptCount val="1"/>
                <c:pt idx="0">
                  <c:v>OM %</c:v>
                </c:pt>
              </c:strCache>
            </c:strRef>
          </c:tx>
          <c:spPr>
            <a:ln w="28575" cap="rnd">
              <a:solidFill>
                <a:schemeClr val="accent1"/>
              </a:solidFill>
              <a:round/>
            </a:ln>
            <a:effectLst/>
          </c:spPr>
          <c:marker>
            <c:symbol val="none"/>
          </c:marker>
          <c:cat>
            <c:strRef>
              <c:f>model!$B$1:$Y$1</c:f>
              <c:strCache>
                <c:ptCount val="24"/>
                <c:pt idx="0">
                  <c:v>Q1 2019</c:v>
                </c:pt>
                <c:pt idx="1">
                  <c:v>Q2 2019</c:v>
                </c:pt>
                <c:pt idx="2">
                  <c:v>Q3 2019</c:v>
                </c:pt>
                <c:pt idx="3">
                  <c:v>Q4 2019</c:v>
                </c:pt>
                <c:pt idx="4">
                  <c:v>Q1 2020</c:v>
                </c:pt>
                <c:pt idx="5">
                  <c:v>Q2 2020</c:v>
                </c:pt>
                <c:pt idx="6">
                  <c:v>Q3 2020</c:v>
                </c:pt>
                <c:pt idx="7">
                  <c:v>Q4 2020</c:v>
                </c:pt>
                <c:pt idx="8">
                  <c:v>Q1 2021</c:v>
                </c:pt>
                <c:pt idx="9">
                  <c:v>Q2 2021</c:v>
                </c:pt>
                <c:pt idx="10">
                  <c:v>Q3 2021</c:v>
                </c:pt>
                <c:pt idx="11">
                  <c:v>Q4 2021</c:v>
                </c:pt>
                <c:pt idx="12">
                  <c:v>Q1 2022</c:v>
                </c:pt>
                <c:pt idx="13">
                  <c:v>Q2 2022</c:v>
                </c:pt>
                <c:pt idx="14">
                  <c:v>Q3 2022</c:v>
                </c:pt>
                <c:pt idx="15">
                  <c:v>Q4 2022</c:v>
                </c:pt>
                <c:pt idx="16">
                  <c:v>Q1 2023</c:v>
                </c:pt>
                <c:pt idx="17">
                  <c:v>Q2 2023</c:v>
                </c:pt>
                <c:pt idx="18">
                  <c:v>Q3 2023</c:v>
                </c:pt>
                <c:pt idx="19">
                  <c:v>Q4 2023</c:v>
                </c:pt>
                <c:pt idx="20">
                  <c:v>Q1 2024</c:v>
                </c:pt>
                <c:pt idx="21">
                  <c:v>Q2 2024</c:v>
                </c:pt>
                <c:pt idx="22">
                  <c:v>Q3 2024</c:v>
                </c:pt>
                <c:pt idx="23">
                  <c:v>Q4 2024</c:v>
                </c:pt>
              </c:strCache>
            </c:strRef>
          </c:cat>
          <c:val>
            <c:numRef>
              <c:f>model!$B$42:$Y$42</c:f>
              <c:numCache>
                <c:formatCode>0.00%</c:formatCode>
                <c:ptCount val="24"/>
                <c:pt idx="0">
                  <c:v>0.18184319876716476</c:v>
                </c:pt>
                <c:pt idx="1">
                  <c:v>0.23572308956450289</c:v>
                </c:pt>
                <c:pt idx="2">
                  <c:v>0.22659818760957059</c:v>
                </c:pt>
                <c:pt idx="3">
                  <c:v>0.20110689093868692</c:v>
                </c:pt>
                <c:pt idx="4">
                  <c:v>0.1938093734055735</c:v>
                </c:pt>
                <c:pt idx="5">
                  <c:v>0.1666710186176463</c:v>
                </c:pt>
                <c:pt idx="6">
                  <c:v>0.24284755159941956</c:v>
                </c:pt>
                <c:pt idx="7">
                  <c:v>0.27507118000632713</c:v>
                </c:pt>
                <c:pt idx="8">
                  <c:v>0.29715804317171057</c:v>
                </c:pt>
                <c:pt idx="9">
                  <c:v>0.31368778280542986</c:v>
                </c:pt>
                <c:pt idx="10">
                  <c:v>0.32296753585798088</c:v>
                </c:pt>
                <c:pt idx="11">
                  <c:v>0.29054098904746101</c:v>
                </c:pt>
                <c:pt idx="12">
                  <c:v>0.29545220626075192</c:v>
                </c:pt>
                <c:pt idx="13">
                  <c:v>0.32220707469326254</c:v>
                </c:pt>
                <c:pt idx="14">
                  <c:v>0.24800266311584554</c:v>
                </c:pt>
                <c:pt idx="15">
                  <c:v>0.23879654954765411</c:v>
                </c:pt>
                <c:pt idx="16">
                  <c:v>0.24954504420594092</c:v>
                </c:pt>
                <c:pt idx="17">
                  <c:v>0.29271888906761029</c:v>
                </c:pt>
                <c:pt idx="18">
                  <c:v>0.27829136948613303</c:v>
                </c:pt>
                <c:pt idx="19">
                  <c:v>0.27455683003128256</c:v>
                </c:pt>
                <c:pt idx="20">
                  <c:v>0.31626913669154072</c:v>
                </c:pt>
                <c:pt idx="21">
                  <c:v>0.32362936914398999</c:v>
                </c:pt>
                <c:pt idx="22">
                  <c:v>0.32311823084243441</c:v>
                </c:pt>
                <c:pt idx="23">
                  <c:v>0.32232097590249253</c:v>
                </c:pt>
              </c:numCache>
            </c:numRef>
          </c:val>
          <c:smooth val="0"/>
          <c:extLst>
            <c:ext xmlns:c16="http://schemas.microsoft.com/office/drawing/2014/chart" uri="{C3380CC4-5D6E-409C-BE32-E72D297353CC}">
              <c16:uniqueId val="{00000000-675F-4875-B18C-561A4D404356}"/>
            </c:ext>
          </c:extLst>
        </c:ser>
        <c:dLbls>
          <c:showLegendKey val="0"/>
          <c:showVal val="0"/>
          <c:showCatName val="0"/>
          <c:showSerName val="0"/>
          <c:showPercent val="0"/>
          <c:showBubbleSize val="0"/>
        </c:dLbls>
        <c:smooth val="0"/>
        <c:axId val="608902448"/>
        <c:axId val="608903888"/>
      </c:lineChart>
      <c:catAx>
        <c:axId val="608902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8903888"/>
        <c:crosses val="autoZero"/>
        <c:auto val="1"/>
        <c:lblAlgn val="ctr"/>
        <c:lblOffset val="100"/>
        <c:noMultiLvlLbl val="0"/>
      </c:catAx>
      <c:valAx>
        <c:axId val="6089038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89024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CAPEX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model!$B$1:$Y$1</c:f>
              <c:strCache>
                <c:ptCount val="24"/>
                <c:pt idx="0">
                  <c:v>Q1 2019</c:v>
                </c:pt>
                <c:pt idx="1">
                  <c:v>Q2 2019</c:v>
                </c:pt>
                <c:pt idx="2">
                  <c:v>Q3 2019</c:v>
                </c:pt>
                <c:pt idx="3">
                  <c:v>Q4 2019</c:v>
                </c:pt>
                <c:pt idx="4">
                  <c:v>Q1 2020</c:v>
                </c:pt>
                <c:pt idx="5">
                  <c:v>Q2 2020</c:v>
                </c:pt>
                <c:pt idx="6">
                  <c:v>Q3 2020</c:v>
                </c:pt>
                <c:pt idx="7">
                  <c:v>Q4 2020</c:v>
                </c:pt>
                <c:pt idx="8">
                  <c:v>Q1 2021</c:v>
                </c:pt>
                <c:pt idx="9">
                  <c:v>Q2 2021</c:v>
                </c:pt>
                <c:pt idx="10">
                  <c:v>Q3 2021</c:v>
                </c:pt>
                <c:pt idx="11">
                  <c:v>Q4 2021</c:v>
                </c:pt>
                <c:pt idx="12">
                  <c:v>Q1 2022</c:v>
                </c:pt>
                <c:pt idx="13">
                  <c:v>Q2 2022</c:v>
                </c:pt>
                <c:pt idx="14">
                  <c:v>Q3 2022</c:v>
                </c:pt>
                <c:pt idx="15">
                  <c:v>Q4 2022</c:v>
                </c:pt>
                <c:pt idx="16">
                  <c:v>Q1 2023</c:v>
                </c:pt>
                <c:pt idx="17">
                  <c:v>Q2 2023</c:v>
                </c:pt>
                <c:pt idx="18">
                  <c:v>Q3 2023</c:v>
                </c:pt>
                <c:pt idx="19">
                  <c:v>Q4 2023</c:v>
                </c:pt>
                <c:pt idx="20">
                  <c:v>Q1 2024</c:v>
                </c:pt>
                <c:pt idx="21">
                  <c:v>Q2 2024</c:v>
                </c:pt>
                <c:pt idx="22">
                  <c:v>Q3 2024</c:v>
                </c:pt>
                <c:pt idx="23">
                  <c:v>Q4 2024</c:v>
                </c:pt>
              </c:strCache>
            </c:strRef>
          </c:cat>
          <c:val>
            <c:numRef>
              <c:f>model!$B$50:$Y$50</c:f>
              <c:numCache>
                <c:formatCode>#,##0</c:formatCode>
                <c:ptCount val="24"/>
                <c:pt idx="0">
                  <c:v>4638</c:v>
                </c:pt>
                <c:pt idx="1">
                  <c:v>6126</c:v>
                </c:pt>
                <c:pt idx="2">
                  <c:v>6732</c:v>
                </c:pt>
                <c:pt idx="3">
                  <c:v>6052</c:v>
                </c:pt>
                <c:pt idx="4">
                  <c:v>6005</c:v>
                </c:pt>
                <c:pt idx="5">
                  <c:v>5391</c:v>
                </c:pt>
                <c:pt idx="6">
                  <c:v>5406</c:v>
                </c:pt>
                <c:pt idx="7">
                  <c:v>5479</c:v>
                </c:pt>
                <c:pt idx="8">
                  <c:v>5942</c:v>
                </c:pt>
                <c:pt idx="9">
                  <c:v>5496</c:v>
                </c:pt>
                <c:pt idx="10">
                  <c:v>6819</c:v>
                </c:pt>
                <c:pt idx="11">
                  <c:v>6383</c:v>
                </c:pt>
                <c:pt idx="12">
                  <c:v>9786</c:v>
                </c:pt>
                <c:pt idx="13">
                  <c:v>6828</c:v>
                </c:pt>
                <c:pt idx="14">
                  <c:v>7276</c:v>
                </c:pt>
                <c:pt idx="15">
                  <c:v>7595</c:v>
                </c:pt>
                <c:pt idx="16">
                  <c:v>6289</c:v>
                </c:pt>
                <c:pt idx="17">
                  <c:v>6888</c:v>
                </c:pt>
                <c:pt idx="18">
                  <c:v>8055</c:v>
                </c:pt>
                <c:pt idx="19">
                  <c:v>11019</c:v>
                </c:pt>
                <c:pt idx="20">
                  <c:v>12012</c:v>
                </c:pt>
                <c:pt idx="21">
                  <c:v>13186</c:v>
                </c:pt>
                <c:pt idx="22">
                  <c:v>13061</c:v>
                </c:pt>
                <c:pt idx="23">
                  <c:v>0</c:v>
                </c:pt>
              </c:numCache>
            </c:numRef>
          </c:val>
          <c:extLst>
            <c:ext xmlns:c16="http://schemas.microsoft.com/office/drawing/2014/chart" uri="{C3380CC4-5D6E-409C-BE32-E72D297353CC}">
              <c16:uniqueId val="{00000000-7117-4B65-8E12-688F3DB21095}"/>
            </c:ext>
          </c:extLst>
        </c:ser>
        <c:dLbls>
          <c:showLegendKey val="0"/>
          <c:showVal val="0"/>
          <c:showCatName val="0"/>
          <c:showSerName val="0"/>
          <c:showPercent val="0"/>
          <c:showBubbleSize val="0"/>
        </c:dLbls>
        <c:gapWidth val="219"/>
        <c:overlap val="-27"/>
        <c:axId val="60001136"/>
        <c:axId val="59997776"/>
      </c:barChart>
      <c:catAx>
        <c:axId val="60001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997776"/>
        <c:crosses val="autoZero"/>
        <c:auto val="1"/>
        <c:lblAlgn val="ctr"/>
        <c:lblOffset val="100"/>
        <c:noMultiLvlLbl val="0"/>
      </c:catAx>
      <c:valAx>
        <c:axId val="5999777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0011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8</xdr:col>
      <xdr:colOff>1</xdr:colOff>
      <xdr:row>0</xdr:row>
      <xdr:rowOff>0</xdr:rowOff>
    </xdr:from>
    <xdr:to>
      <xdr:col>18</xdr:col>
      <xdr:colOff>552451</xdr:colOff>
      <xdr:row>17</xdr:row>
      <xdr:rowOff>114300</xdr:rowOff>
    </xdr:to>
    <xdr:graphicFrame macro="">
      <xdr:nvGraphicFramePr>
        <xdr:cNvPr id="2" name="Chart 1">
          <a:extLst>
            <a:ext uri="{FF2B5EF4-FFF2-40B4-BE49-F238E27FC236}">
              <a16:creationId xmlns:a16="http://schemas.microsoft.com/office/drawing/2014/main" id="{51624FCD-BC88-4C41-B38E-DD111FE6C4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0</xdr:colOff>
      <xdr:row>19</xdr:row>
      <xdr:rowOff>0</xdr:rowOff>
    </xdr:from>
    <xdr:to>
      <xdr:col>18</xdr:col>
      <xdr:colOff>552450</xdr:colOff>
      <xdr:row>36</xdr:row>
      <xdr:rowOff>123825</xdr:rowOff>
    </xdr:to>
    <xdr:graphicFrame macro="">
      <xdr:nvGraphicFramePr>
        <xdr:cNvPr id="3" name="Chart 2">
          <a:extLst>
            <a:ext uri="{FF2B5EF4-FFF2-40B4-BE49-F238E27FC236}">
              <a16:creationId xmlns:a16="http://schemas.microsoft.com/office/drawing/2014/main" id="{7833EC54-917B-4170-9D02-8F5B38C384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0</xdr:colOff>
      <xdr:row>37</xdr:row>
      <xdr:rowOff>161924</xdr:rowOff>
    </xdr:from>
    <xdr:to>
      <xdr:col>18</xdr:col>
      <xdr:colOff>590550</xdr:colOff>
      <xdr:row>54</xdr:row>
      <xdr:rowOff>161924</xdr:rowOff>
    </xdr:to>
    <xdr:graphicFrame macro="">
      <xdr:nvGraphicFramePr>
        <xdr:cNvPr id="4" name="Chart 3">
          <a:extLst>
            <a:ext uri="{FF2B5EF4-FFF2-40B4-BE49-F238E27FC236}">
              <a16:creationId xmlns:a16="http://schemas.microsoft.com/office/drawing/2014/main" id="{2172B639-14C9-499C-8A55-D2FB64AFCF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609599</xdr:colOff>
      <xdr:row>55</xdr:row>
      <xdr:rowOff>161924</xdr:rowOff>
    </xdr:from>
    <xdr:to>
      <xdr:col>18</xdr:col>
      <xdr:colOff>600074</xdr:colOff>
      <xdr:row>73</xdr:row>
      <xdr:rowOff>57149</xdr:rowOff>
    </xdr:to>
    <xdr:graphicFrame macro="">
      <xdr:nvGraphicFramePr>
        <xdr:cNvPr id="5" name="Chart 4">
          <a:extLst>
            <a:ext uri="{FF2B5EF4-FFF2-40B4-BE49-F238E27FC236}">
              <a16:creationId xmlns:a16="http://schemas.microsoft.com/office/drawing/2014/main" id="{0CFEEFFC-30F9-49B5-BD1B-3058F37275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48</xdr:col>
      <xdr:colOff>16933</xdr:colOff>
      <xdr:row>0</xdr:row>
      <xdr:rowOff>0</xdr:rowOff>
    </xdr:from>
    <xdr:to>
      <xdr:col>48</xdr:col>
      <xdr:colOff>16933</xdr:colOff>
      <xdr:row>122</xdr:row>
      <xdr:rowOff>38100</xdr:rowOff>
    </xdr:to>
    <xdr:cxnSp macro="">
      <xdr:nvCxnSpPr>
        <xdr:cNvPr id="3" name="Straight Connector 2">
          <a:extLst>
            <a:ext uri="{FF2B5EF4-FFF2-40B4-BE49-F238E27FC236}">
              <a16:creationId xmlns:a16="http://schemas.microsoft.com/office/drawing/2014/main" id="{F6944510-D188-AA0D-EAE1-33FE8B2D4E2A}"/>
            </a:ext>
          </a:extLst>
        </xdr:cNvPr>
        <xdr:cNvCxnSpPr/>
      </xdr:nvCxnSpPr>
      <xdr:spPr>
        <a:xfrm>
          <a:off x="23622000" y="0"/>
          <a:ext cx="0" cy="20019433"/>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25</xdr:col>
      <xdr:colOff>1</xdr:colOff>
      <xdr:row>0</xdr:row>
      <xdr:rowOff>0</xdr:rowOff>
    </xdr:from>
    <xdr:to>
      <xdr:col>25</xdr:col>
      <xdr:colOff>9526</xdr:colOff>
      <xdr:row>131</xdr:row>
      <xdr:rowOff>66675</xdr:rowOff>
    </xdr:to>
    <xdr:cxnSp macro="">
      <xdr:nvCxnSpPr>
        <xdr:cNvPr id="4" name="Straight Connector 3">
          <a:extLst>
            <a:ext uri="{FF2B5EF4-FFF2-40B4-BE49-F238E27FC236}">
              <a16:creationId xmlns:a16="http://schemas.microsoft.com/office/drawing/2014/main" id="{B8E3276D-C786-50C4-CDB0-5EA0A722BF0C}"/>
            </a:ext>
          </a:extLst>
        </xdr:cNvPr>
        <xdr:cNvCxnSpPr/>
      </xdr:nvCxnSpPr>
      <xdr:spPr>
        <a:xfrm>
          <a:off x="17746134" y="0"/>
          <a:ext cx="9525" cy="20725342"/>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https://www.bing.com/financeapi/forcetrigger?t=a1u3rw&amp;q=XNAS%3aGOOGL&amp;form=skydnc</v>
    <v>Learn more on Bing</v>
  </rv>
  <rv s="1">
    <v>en-US</v>
    <v>a1u3rw</v>
    <v>268435456</v>
    <v>1</v>
    <v>Powered by Refinitiv</v>
    <v>0</v>
    <v>ALPHABET INC. (XNAS:GOOGL)</v>
    <v>2</v>
    <v>3</v>
    <v>Finance</v>
    <v>4</v>
    <v>207.05</v>
    <v>147.215</v>
    <v>1.0147999999999999</v>
    <v>-5.0525000000000002</v>
    <v>-3.2173E-2</v>
    <v>USD</v>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artificial intelligence (AI) offerings, including its AI infrastructure, Vertex AI platform, and Gemini for Google Cloud; cybersecurity, and data and analytics. Google Workspace includes cloud-based communication and collaboration tools for enterprises, such as Calendar, Gmail, Docs, Drive, and Meet.</v>
    <v>183323</v>
    <v>Nasdaq Stock Market</v>
    <v>XNAS</v>
    <v>XNAS</v>
    <v>1600 Amphitheatre Parkway, MOUNTAIN VIEW, CA, 94043 US</v>
    <v>152.7799</v>
    <v>Software &amp; IT Services</v>
    <v>Stock</v>
    <v>45750.704599628909</v>
    <v>0</v>
    <v>150.38999999999999</v>
    <v>1927182000000</v>
    <v>ALPHABET INC.</v>
    <v>ALPHABET INC.</v>
    <v>151.09</v>
    <v>18.786000000000001</v>
    <v>157.04</v>
    <v>151.98750000000001</v>
    <v>12208000000</v>
    <v>GOOGL</v>
    <v>ALPHABET INC. (XNAS:GOOGL)</v>
    <v>22683613</v>
    <v>35041043</v>
    <v>2015</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09481-7C38-4A2D-8BDF-B9411303F629}">
  <dimension ref="A1:F22"/>
  <sheetViews>
    <sheetView showGridLines="0" zoomScale="80" zoomScaleNormal="80" workbookViewId="0">
      <selection activeCell="A21" sqref="A21"/>
    </sheetView>
  </sheetViews>
  <sheetFormatPr defaultColWidth="9.109375" defaultRowHeight="13.2" x14ac:dyDescent="0.25"/>
  <cols>
    <col min="1" max="1" width="9.109375" style="1"/>
    <col min="2" max="2" width="32.109375" style="1" bestFit="1" customWidth="1"/>
    <col min="3" max="3" width="9.109375" style="1"/>
    <col min="4" max="4" width="12.109375" style="1" bestFit="1" customWidth="1"/>
    <col min="5" max="5" width="9.33203125" style="1" bestFit="1" customWidth="1"/>
    <col min="6" max="16384" width="9.109375" style="1"/>
  </cols>
  <sheetData>
    <row r="1" spans="1:6" x14ac:dyDescent="0.25">
      <c r="A1" s="1" t="s">
        <v>0</v>
      </c>
      <c r="B1" s="9" t="e" vm="1">
        <v>#VALUE!</v>
      </c>
      <c r="D1" s="2" t="s">
        <v>37</v>
      </c>
      <c r="E1" s="8">
        <v>1998</v>
      </c>
    </row>
    <row r="2" spans="1:6" x14ac:dyDescent="0.25">
      <c r="A2" s="1" t="s">
        <v>1</v>
      </c>
      <c r="B2" s="9" cm="1">
        <f t="array" aca="1" ref="B2" ca="1">+_FV(B1,"price")</f>
        <v>151.98750000000001</v>
      </c>
      <c r="D2" s="2" t="s">
        <v>68</v>
      </c>
      <c r="E2" s="8" t="s">
        <v>73</v>
      </c>
    </row>
    <row r="3" spans="1:6" x14ac:dyDescent="0.25">
      <c r="A3" s="1" t="s">
        <v>2</v>
      </c>
      <c r="B3" s="9">
        <f>5859+866+5585</f>
        <v>12310</v>
      </c>
      <c r="D3" s="2" t="s">
        <v>69</v>
      </c>
      <c r="E3" s="8" t="s">
        <v>75</v>
      </c>
    </row>
    <row r="4" spans="1:6" x14ac:dyDescent="0.25">
      <c r="A4" s="1" t="s">
        <v>3</v>
      </c>
      <c r="B4" s="10">
        <f ca="1">+B2*B3</f>
        <v>1870966.1250000002</v>
      </c>
      <c r="D4" s="2" t="s">
        <v>70</v>
      </c>
      <c r="E4" s="8" t="s">
        <v>74</v>
      </c>
    </row>
    <row r="5" spans="1:6" x14ac:dyDescent="0.25">
      <c r="A5" s="1" t="s">
        <v>4</v>
      </c>
      <c r="B5" s="10">
        <f>93230+36177</f>
        <v>129407</v>
      </c>
      <c r="D5" s="2" t="s">
        <v>71</v>
      </c>
      <c r="E5" s="8">
        <v>2004</v>
      </c>
    </row>
    <row r="6" spans="1:6" x14ac:dyDescent="0.25">
      <c r="A6" s="1" t="s">
        <v>5</v>
      </c>
      <c r="B6" s="10">
        <v>12297</v>
      </c>
      <c r="D6" s="2" t="s">
        <v>72</v>
      </c>
      <c r="E6" s="8" t="s">
        <v>76</v>
      </c>
    </row>
    <row r="7" spans="1:6" x14ac:dyDescent="0.25">
      <c r="A7" s="1" t="s">
        <v>6</v>
      </c>
      <c r="B7" s="10">
        <f ca="1">+B4-B5+B6</f>
        <v>1753856.1250000002</v>
      </c>
      <c r="D7" s="2" t="s">
        <v>127</v>
      </c>
      <c r="E7" s="20">
        <v>183323</v>
      </c>
    </row>
    <row r="9" spans="1:6" x14ac:dyDescent="0.25">
      <c r="A9" s="1" t="s">
        <v>124</v>
      </c>
      <c r="E9" s="1" t="s">
        <v>139</v>
      </c>
      <c r="F9" s="12" t="e">
        <f ca="1">+B7/model!Y54</f>
        <v>#VALUE!</v>
      </c>
    </row>
    <row r="10" spans="1:6" x14ac:dyDescent="0.25">
      <c r="A10" s="1" t="s">
        <v>125</v>
      </c>
      <c r="E10" s="1" t="s">
        <v>146</v>
      </c>
      <c r="F10" s="12">
        <f ca="1">+B7/model!AV49</f>
        <v>13.997367297424562</v>
      </c>
    </row>
    <row r="11" spans="1:6" x14ac:dyDescent="0.25">
      <c r="A11" s="1" t="s">
        <v>133</v>
      </c>
    </row>
    <row r="12" spans="1:6" x14ac:dyDescent="0.25">
      <c r="A12" s="1" t="s">
        <v>126</v>
      </c>
    </row>
    <row r="13" spans="1:6" x14ac:dyDescent="0.25">
      <c r="F13" s="4"/>
    </row>
    <row r="14" spans="1:6" x14ac:dyDescent="0.25">
      <c r="A14" s="2" t="s">
        <v>128</v>
      </c>
    </row>
    <row r="15" spans="1:6" x14ac:dyDescent="0.25">
      <c r="A15" s="1" t="s">
        <v>129</v>
      </c>
    </row>
    <row r="16" spans="1:6" x14ac:dyDescent="0.25">
      <c r="A16" s="1" t="s">
        <v>130</v>
      </c>
    </row>
    <row r="17" spans="1:1" x14ac:dyDescent="0.25">
      <c r="A17" s="1" t="s">
        <v>131</v>
      </c>
    </row>
    <row r="18" spans="1:1" x14ac:dyDescent="0.25">
      <c r="A18" s="1" t="s">
        <v>132</v>
      </c>
    </row>
    <row r="21" spans="1:1" x14ac:dyDescent="0.25">
      <c r="A21" s="1" t="s">
        <v>147</v>
      </c>
    </row>
    <row r="22" spans="1:1" x14ac:dyDescent="0.25">
      <c r="A22" s="1" t="s">
        <v>163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D2FF4-A0C7-4484-AFB6-DA31AC3D288E}">
  <dimension ref="A1:DJ120"/>
  <sheetViews>
    <sheetView tabSelected="1" zoomScaleNormal="100" workbookViewId="0">
      <pane xSplit="1" ySplit="1" topLeftCell="Y13" activePane="bottomRight" state="frozen"/>
      <selection pane="topRight" activeCell="B1" sqref="B1"/>
      <selection pane="bottomLeft" activeCell="A2" sqref="A2"/>
      <selection pane="bottomRight" activeCell="Y50" sqref="Y50"/>
    </sheetView>
  </sheetViews>
  <sheetFormatPr defaultColWidth="9.109375" defaultRowHeight="13.2" x14ac:dyDescent="0.25"/>
  <cols>
    <col min="1" max="1" width="26.109375" style="1" bestFit="1" customWidth="1"/>
    <col min="2" max="9" width="9.33203125" style="1" bestFit="1" customWidth="1"/>
    <col min="10" max="10" width="9.88671875" style="1" bestFit="1" customWidth="1"/>
    <col min="11" max="12" width="9.33203125" style="1" bestFit="1" customWidth="1"/>
    <col min="13" max="13" width="11.6640625" style="1" bestFit="1" customWidth="1"/>
    <col min="14" max="14" width="9.88671875" style="1" bestFit="1" customWidth="1"/>
    <col min="15" max="15" width="11" style="1" bestFit="1" customWidth="1"/>
    <col min="16" max="19" width="9.33203125" style="1" bestFit="1" customWidth="1"/>
    <col min="20" max="20" width="9.88671875" style="1" bestFit="1" customWidth="1"/>
    <col min="21" max="22" width="9.33203125" style="1" bestFit="1" customWidth="1"/>
    <col min="23" max="23" width="9.109375" style="1" customWidth="1"/>
    <col min="24" max="24" width="9.88671875" style="1" bestFit="1" customWidth="1"/>
    <col min="25" max="41" width="9.109375" style="1"/>
    <col min="42" max="42" width="9.33203125" style="1" bestFit="1" customWidth="1"/>
    <col min="43" max="43" width="9.88671875" style="1" bestFit="1" customWidth="1"/>
    <col min="44" max="45" width="9.33203125" style="1" bestFit="1" customWidth="1"/>
    <col min="46" max="46" width="10.33203125" style="1" bestFit="1" customWidth="1"/>
    <col min="47" max="52" width="9.33203125" style="1" bestFit="1" customWidth="1"/>
    <col min="53" max="54" width="9.88671875" style="1" bestFit="1" customWidth="1"/>
    <col min="55" max="56" width="9.33203125" style="1" bestFit="1" customWidth="1"/>
    <col min="57" max="57" width="13" style="1" bestFit="1" customWidth="1"/>
    <col min="58" max="114" width="9.33203125" style="1" bestFit="1" customWidth="1"/>
    <col min="115" max="16384" width="9.109375" style="1"/>
  </cols>
  <sheetData>
    <row r="1" spans="1:57" x14ac:dyDescent="0.25">
      <c r="B1" s="2" t="s">
        <v>14</v>
      </c>
      <c r="C1" s="2" t="s">
        <v>34</v>
      </c>
      <c r="D1" s="2" t="s">
        <v>35</v>
      </c>
      <c r="E1" s="2" t="s">
        <v>36</v>
      </c>
      <c r="F1" s="2" t="s">
        <v>15</v>
      </c>
      <c r="G1" s="2" t="s">
        <v>31</v>
      </c>
      <c r="H1" s="2" t="s">
        <v>32</v>
      </c>
      <c r="I1" s="2" t="s">
        <v>33</v>
      </c>
      <c r="J1" s="2" t="s">
        <v>16</v>
      </c>
      <c r="K1" s="2" t="s">
        <v>28</v>
      </c>
      <c r="L1" s="2" t="s">
        <v>29</v>
      </c>
      <c r="M1" s="2" t="s">
        <v>30</v>
      </c>
      <c r="N1" s="2" t="s">
        <v>17</v>
      </c>
      <c r="O1" s="2" t="s">
        <v>25</v>
      </c>
      <c r="P1" s="2" t="s">
        <v>26</v>
      </c>
      <c r="Q1" s="2" t="s">
        <v>27</v>
      </c>
      <c r="R1" s="2" t="s">
        <v>18</v>
      </c>
      <c r="S1" s="2" t="s">
        <v>22</v>
      </c>
      <c r="T1" s="2" t="s">
        <v>23</v>
      </c>
      <c r="U1" s="2" t="s">
        <v>24</v>
      </c>
      <c r="V1" s="2" t="s">
        <v>19</v>
      </c>
      <c r="W1" s="2" t="s">
        <v>20</v>
      </c>
      <c r="X1" s="2" t="s">
        <v>122</v>
      </c>
      <c r="Y1" s="2" t="s">
        <v>123</v>
      </c>
      <c r="Z1" s="2" t="s">
        <v>170</v>
      </c>
      <c r="AE1" s="2">
        <f t="shared" ref="AE1:AN1" si="0">+AF1-1</f>
        <v>2007</v>
      </c>
      <c r="AF1" s="2">
        <f t="shared" si="0"/>
        <v>2008</v>
      </c>
      <c r="AG1" s="2">
        <f t="shared" si="0"/>
        <v>2009</v>
      </c>
      <c r="AH1" s="2">
        <f t="shared" si="0"/>
        <v>2010</v>
      </c>
      <c r="AI1" s="2">
        <f t="shared" si="0"/>
        <v>2011</v>
      </c>
      <c r="AJ1" s="2">
        <f t="shared" si="0"/>
        <v>2012</v>
      </c>
      <c r="AK1" s="2">
        <f t="shared" si="0"/>
        <v>2013</v>
      </c>
      <c r="AL1" s="2">
        <f t="shared" si="0"/>
        <v>2014</v>
      </c>
      <c r="AM1" s="2">
        <f t="shared" si="0"/>
        <v>2015</v>
      </c>
      <c r="AN1" s="2">
        <f t="shared" si="0"/>
        <v>2016</v>
      </c>
      <c r="AO1" s="2">
        <f>+AP1-1</f>
        <v>2017</v>
      </c>
      <c r="AP1" s="2">
        <v>2018</v>
      </c>
      <c r="AQ1" s="2">
        <v>2019</v>
      </c>
      <c r="AR1" s="2">
        <f>+AQ1+1</f>
        <v>2020</v>
      </c>
      <c r="AS1" s="2">
        <f t="shared" ref="AS1:BB1" si="1">+AR1+1</f>
        <v>2021</v>
      </c>
      <c r="AT1" s="2">
        <f t="shared" si="1"/>
        <v>2022</v>
      </c>
      <c r="AU1" s="2">
        <f t="shared" si="1"/>
        <v>2023</v>
      </c>
      <c r="AV1" s="2">
        <f t="shared" si="1"/>
        <v>2024</v>
      </c>
      <c r="AW1" s="2">
        <f t="shared" si="1"/>
        <v>2025</v>
      </c>
      <c r="AX1" s="2">
        <f t="shared" si="1"/>
        <v>2026</v>
      </c>
      <c r="AY1" s="2">
        <f t="shared" si="1"/>
        <v>2027</v>
      </c>
      <c r="AZ1" s="2">
        <f t="shared" si="1"/>
        <v>2028</v>
      </c>
      <c r="BA1" s="2">
        <f t="shared" si="1"/>
        <v>2029</v>
      </c>
      <c r="BB1" s="2">
        <f t="shared" si="1"/>
        <v>2030</v>
      </c>
    </row>
    <row r="2" spans="1:57" x14ac:dyDescent="0.25">
      <c r="A2" s="1" t="s">
        <v>140</v>
      </c>
      <c r="B2" s="2"/>
      <c r="C2" s="2"/>
      <c r="D2" s="2"/>
      <c r="E2" s="2"/>
      <c r="F2" s="2"/>
      <c r="G2" s="2"/>
      <c r="H2" s="2"/>
      <c r="I2" s="2"/>
      <c r="J2" s="2"/>
      <c r="K2" s="2"/>
      <c r="L2" s="2"/>
      <c r="M2" s="2"/>
      <c r="N2" s="2"/>
      <c r="O2" s="2"/>
      <c r="P2" s="2"/>
      <c r="Q2" s="2"/>
      <c r="R2" s="2"/>
      <c r="S2" s="2"/>
      <c r="T2" s="2"/>
      <c r="U2" s="2"/>
      <c r="V2" s="2"/>
      <c r="W2" s="2"/>
      <c r="X2" s="2"/>
      <c r="Y2" s="2"/>
      <c r="Z2" s="3"/>
      <c r="AP2" s="3"/>
      <c r="AQ2" s="3"/>
      <c r="AR2" s="3"/>
      <c r="AS2" s="3"/>
      <c r="AT2" s="3">
        <v>134814</v>
      </c>
      <c r="AU2" s="3">
        <v>146286</v>
      </c>
      <c r="AV2" s="3">
        <v>170447</v>
      </c>
      <c r="AW2" s="2"/>
      <c r="AX2" s="2"/>
      <c r="AY2" s="2"/>
      <c r="AZ2" s="2"/>
      <c r="BA2" s="2"/>
      <c r="BB2" s="2"/>
    </row>
    <row r="3" spans="1:57" x14ac:dyDescent="0.25">
      <c r="A3" s="1" t="s">
        <v>141</v>
      </c>
      <c r="B3" s="2"/>
      <c r="C3" s="2"/>
      <c r="D3" s="2"/>
      <c r="E3" s="2"/>
      <c r="F3" s="2"/>
      <c r="G3" s="2"/>
      <c r="H3" s="2"/>
      <c r="I3" s="2"/>
      <c r="J3" s="2"/>
      <c r="K3" s="2"/>
      <c r="L3" s="2"/>
      <c r="M3" s="2"/>
      <c r="N3" s="2"/>
      <c r="O3" s="2"/>
      <c r="P3" s="2"/>
      <c r="Q3" s="2"/>
      <c r="R3" s="2"/>
      <c r="S3" s="2"/>
      <c r="T3" s="2"/>
      <c r="U3" s="2"/>
      <c r="V3" s="2"/>
      <c r="W3" s="2"/>
      <c r="X3" s="2"/>
      <c r="Y3" s="2"/>
      <c r="Z3" s="3"/>
      <c r="AP3" s="3"/>
      <c r="AQ3" s="3"/>
      <c r="AR3" s="3"/>
      <c r="AS3" s="3"/>
      <c r="AT3" s="3">
        <v>82062</v>
      </c>
      <c r="AU3" s="3">
        <v>91038</v>
      </c>
      <c r="AV3" s="3">
        <v>102127</v>
      </c>
      <c r="AW3" s="2"/>
      <c r="AX3" s="2"/>
      <c r="AY3" s="2"/>
      <c r="AZ3" s="2"/>
      <c r="BA3" s="2"/>
      <c r="BB3" s="2"/>
    </row>
    <row r="4" spans="1:57" x14ac:dyDescent="0.25">
      <c r="A4" s="1" t="s">
        <v>142</v>
      </c>
      <c r="B4" s="2"/>
      <c r="C4" s="2"/>
      <c r="D4" s="2"/>
      <c r="E4" s="2"/>
      <c r="F4" s="2"/>
      <c r="G4" s="2"/>
      <c r="H4" s="2"/>
      <c r="I4" s="2"/>
      <c r="J4" s="2"/>
      <c r="K4" s="2"/>
      <c r="L4" s="2"/>
      <c r="M4" s="2"/>
      <c r="N4" s="2"/>
      <c r="O4" s="2"/>
      <c r="P4" s="2"/>
      <c r="Q4" s="2"/>
      <c r="R4" s="2"/>
      <c r="S4" s="2"/>
      <c r="T4" s="2"/>
      <c r="U4" s="2"/>
      <c r="V4" s="2"/>
      <c r="W4" s="2"/>
      <c r="X4" s="2"/>
      <c r="Y4" s="2"/>
      <c r="Z4" s="3"/>
      <c r="AP4" s="3"/>
      <c r="AQ4" s="3"/>
      <c r="AR4" s="3"/>
      <c r="AS4" s="3"/>
      <c r="AT4" s="3">
        <v>47024</v>
      </c>
      <c r="AU4" s="3">
        <v>51514</v>
      </c>
      <c r="AV4" s="3">
        <v>56815</v>
      </c>
      <c r="AW4" s="2"/>
      <c r="AX4" s="2"/>
      <c r="AY4" s="2"/>
      <c r="AZ4" s="2"/>
      <c r="BA4" s="2"/>
      <c r="BB4" s="2"/>
    </row>
    <row r="5" spans="1:57" x14ac:dyDescent="0.25">
      <c r="A5" s="1" t="s">
        <v>143</v>
      </c>
      <c r="B5" s="2"/>
      <c r="C5" s="2"/>
      <c r="D5" s="2"/>
      <c r="E5" s="2"/>
      <c r="F5" s="2"/>
      <c r="G5" s="2"/>
      <c r="H5" s="2"/>
      <c r="I5" s="2"/>
      <c r="J5" s="2"/>
      <c r="K5" s="2"/>
      <c r="L5" s="2"/>
      <c r="M5" s="2"/>
      <c r="N5" s="2"/>
      <c r="O5" s="2"/>
      <c r="P5" s="2"/>
      <c r="Q5" s="2"/>
      <c r="R5" s="2"/>
      <c r="S5" s="2"/>
      <c r="T5" s="2"/>
      <c r="U5" s="2"/>
      <c r="V5" s="2"/>
      <c r="W5" s="2"/>
      <c r="X5" s="2"/>
      <c r="Y5" s="2"/>
      <c r="Z5" s="3"/>
      <c r="AP5" s="3"/>
      <c r="AQ5" s="3"/>
      <c r="AR5" s="3"/>
      <c r="AS5" s="3"/>
      <c r="AT5" s="3">
        <v>16976</v>
      </c>
      <c r="AU5" s="3">
        <v>18320</v>
      </c>
      <c r="AV5" s="3">
        <v>20418</v>
      </c>
      <c r="AW5" s="2"/>
      <c r="AX5" s="2"/>
      <c r="AY5" s="2"/>
      <c r="AZ5" s="2"/>
      <c r="BA5" s="2"/>
      <c r="BB5" s="2"/>
    </row>
    <row r="6" spans="1:57" x14ac:dyDescent="0.25">
      <c r="B6" s="2"/>
      <c r="C6" s="2"/>
      <c r="D6" s="2"/>
      <c r="E6" s="2"/>
      <c r="F6" s="2"/>
      <c r="G6" s="2"/>
      <c r="H6" s="2"/>
      <c r="I6" s="2"/>
      <c r="J6" s="2"/>
      <c r="K6" s="2"/>
      <c r="L6" s="2"/>
      <c r="M6" s="2"/>
      <c r="N6" s="2"/>
      <c r="O6" s="2"/>
      <c r="P6" s="2"/>
      <c r="Q6" s="2"/>
      <c r="R6" s="2"/>
      <c r="S6" s="2"/>
      <c r="T6" s="2"/>
      <c r="U6" s="2"/>
      <c r="V6" s="2"/>
      <c r="W6" s="2"/>
      <c r="X6" s="2"/>
      <c r="Y6" s="2"/>
      <c r="Z6" s="3"/>
      <c r="AP6" s="2"/>
      <c r="AQ6" s="2"/>
      <c r="AR6" s="2"/>
      <c r="AS6" s="2"/>
      <c r="AT6" s="2"/>
      <c r="AU6" s="2"/>
      <c r="AV6" s="2"/>
      <c r="AW6" s="2"/>
      <c r="AX6" s="2"/>
      <c r="AY6" s="2"/>
      <c r="AZ6" s="2"/>
      <c r="BA6" s="2"/>
      <c r="BB6" s="2"/>
    </row>
    <row r="7" spans="1:57" x14ac:dyDescent="0.25">
      <c r="A7" s="1" t="s">
        <v>7</v>
      </c>
      <c r="B7" s="3">
        <v>22547</v>
      </c>
      <c r="C7" s="3">
        <v>23642</v>
      </c>
      <c r="D7" s="3">
        <v>24741</v>
      </c>
      <c r="E7" s="3">
        <v>27185</v>
      </c>
      <c r="F7" s="3">
        <v>24502</v>
      </c>
      <c r="G7" s="3">
        <v>21319</v>
      </c>
      <c r="H7" s="3">
        <v>26338</v>
      </c>
      <c r="I7" s="3">
        <v>31903</v>
      </c>
      <c r="J7" s="3">
        <v>31879</v>
      </c>
      <c r="K7" s="3">
        <v>35845</v>
      </c>
      <c r="L7" s="3">
        <v>37926</v>
      </c>
      <c r="M7" s="3">
        <v>43301</v>
      </c>
      <c r="N7" s="3">
        <v>39618</v>
      </c>
      <c r="O7" s="3">
        <v>40689</v>
      </c>
      <c r="P7" s="3">
        <v>39539</v>
      </c>
      <c r="Q7" s="3">
        <v>42604</v>
      </c>
      <c r="R7" s="3">
        <v>40359</v>
      </c>
      <c r="S7" s="3">
        <v>42628</v>
      </c>
      <c r="T7" s="3">
        <v>44026</v>
      </c>
      <c r="U7" s="3">
        <v>48020</v>
      </c>
      <c r="V7" s="3">
        <v>46156</v>
      </c>
      <c r="W7" s="3">
        <v>48509</v>
      </c>
      <c r="X7" s="3">
        <v>49385</v>
      </c>
      <c r="Y7" s="3">
        <v>54034</v>
      </c>
      <c r="Z7" s="3"/>
      <c r="AP7" s="3">
        <v>85296</v>
      </c>
      <c r="AQ7" s="3">
        <v>98115</v>
      </c>
      <c r="AR7" s="3">
        <v>104062</v>
      </c>
      <c r="AS7" s="3">
        <f t="shared" ref="AS7:AS9" si="2">+SUM(J7:M7)</f>
        <v>148951</v>
      </c>
      <c r="AT7" s="3">
        <f>+SUM(N7:Q7)</f>
        <v>162450</v>
      </c>
      <c r="AU7" s="3">
        <f>+SUM(R7:U7)</f>
        <v>175033</v>
      </c>
      <c r="AV7" s="3">
        <f>+SUM(V7:Y7)</f>
        <v>198084</v>
      </c>
      <c r="AW7" s="3">
        <f>+AV7*1.1</f>
        <v>217892.40000000002</v>
      </c>
      <c r="AX7" s="3">
        <f t="shared" ref="AX7:BB7" si="3">+AW7*1.1</f>
        <v>239681.64000000004</v>
      </c>
      <c r="AY7" s="3">
        <f t="shared" si="3"/>
        <v>263649.80400000006</v>
      </c>
      <c r="AZ7" s="3">
        <f t="shared" si="3"/>
        <v>290014.78440000012</v>
      </c>
      <c r="BA7" s="3">
        <f t="shared" si="3"/>
        <v>319016.26284000016</v>
      </c>
      <c r="BB7" s="3">
        <f t="shared" si="3"/>
        <v>350917.88912400021</v>
      </c>
      <c r="BD7" s="1" t="s">
        <v>62</v>
      </c>
      <c r="BE7" s="4">
        <v>0.15</v>
      </c>
    </row>
    <row r="8" spans="1:57" x14ac:dyDescent="0.25">
      <c r="A8" s="1" t="s">
        <v>8</v>
      </c>
      <c r="B8" s="3">
        <v>3025</v>
      </c>
      <c r="C8" s="3">
        <v>3603</v>
      </c>
      <c r="D8" s="3">
        <v>3804</v>
      </c>
      <c r="E8" s="3">
        <v>4717</v>
      </c>
      <c r="F8" s="3">
        <v>4038</v>
      </c>
      <c r="G8" s="3">
        <v>3812</v>
      </c>
      <c r="H8" s="3">
        <v>5037</v>
      </c>
      <c r="I8" s="3">
        <v>6885</v>
      </c>
      <c r="J8" s="3">
        <v>6005</v>
      </c>
      <c r="K8" s="3">
        <v>7002</v>
      </c>
      <c r="L8" s="3">
        <v>7205</v>
      </c>
      <c r="M8" s="3">
        <v>8633</v>
      </c>
      <c r="N8" s="3">
        <v>6869</v>
      </c>
      <c r="O8" s="3">
        <v>7340</v>
      </c>
      <c r="P8" s="3">
        <v>7071</v>
      </c>
      <c r="Q8" s="3">
        <v>7963</v>
      </c>
      <c r="R8" s="3">
        <v>6693</v>
      </c>
      <c r="S8" s="3">
        <v>7665</v>
      </c>
      <c r="T8" s="3">
        <v>7952</v>
      </c>
      <c r="U8" s="3">
        <v>9200</v>
      </c>
      <c r="V8" s="3">
        <v>8090</v>
      </c>
      <c r="W8" s="3">
        <v>8663</v>
      </c>
      <c r="X8" s="3">
        <v>8921</v>
      </c>
      <c r="Y8" s="3">
        <v>10473</v>
      </c>
      <c r="Z8" s="3"/>
      <c r="AP8" s="3">
        <v>11155</v>
      </c>
      <c r="AQ8" s="3">
        <v>15149</v>
      </c>
      <c r="AR8" s="3">
        <v>19772</v>
      </c>
      <c r="AS8" s="3">
        <f t="shared" si="2"/>
        <v>28845</v>
      </c>
      <c r="AT8" s="3">
        <f t="shared" ref="AT8:AT14" si="4">+SUM(N8:Q8)</f>
        <v>29243</v>
      </c>
      <c r="AU8" s="3">
        <f t="shared" ref="AU8:AU14" si="5">+SUM(R8:U8)</f>
        <v>31510</v>
      </c>
      <c r="AV8" s="3">
        <f t="shared" ref="AV8:AV13" si="6">+SUM(V8:Y8)</f>
        <v>36147</v>
      </c>
      <c r="AW8" s="3">
        <f>+AV8*1.14</f>
        <v>41207.579999999994</v>
      </c>
      <c r="AX8" s="3">
        <f>+AW8*1.11</f>
        <v>45740.413799999995</v>
      </c>
      <c r="AY8" s="3">
        <f t="shared" ref="AY8:BB8" si="7">+AX8*1.1</f>
        <v>50314.455179999997</v>
      </c>
      <c r="AZ8" s="3">
        <f t="shared" si="7"/>
        <v>55345.900698000005</v>
      </c>
      <c r="BA8" s="3">
        <f t="shared" si="7"/>
        <v>60880.490767800009</v>
      </c>
      <c r="BB8" s="3">
        <f t="shared" si="7"/>
        <v>66968.539844580009</v>
      </c>
      <c r="BD8" s="1" t="s">
        <v>63</v>
      </c>
      <c r="BE8" s="4">
        <v>0.02</v>
      </c>
    </row>
    <row r="9" spans="1:57" x14ac:dyDescent="0.25">
      <c r="A9" s="1" t="s">
        <v>9</v>
      </c>
      <c r="B9" s="3">
        <v>5015</v>
      </c>
      <c r="C9" s="3">
        <v>5249</v>
      </c>
      <c r="D9" s="3">
        <v>5251</v>
      </c>
      <c r="E9" s="3">
        <v>6032</v>
      </c>
      <c r="F9" s="3">
        <v>5223</v>
      </c>
      <c r="G9" s="3">
        <v>4736</v>
      </c>
      <c r="H9" s="3">
        <v>5720</v>
      </c>
      <c r="I9" s="3">
        <v>7411</v>
      </c>
      <c r="J9" s="3">
        <v>6800</v>
      </c>
      <c r="K9" s="3">
        <v>7597</v>
      </c>
      <c r="L9" s="3">
        <v>7999</v>
      </c>
      <c r="M9" s="3">
        <v>9305</v>
      </c>
      <c r="N9" s="3">
        <v>8174</v>
      </c>
      <c r="O9" s="3">
        <v>8259</v>
      </c>
      <c r="P9" s="3">
        <v>7872</v>
      </c>
      <c r="Q9" s="3">
        <v>8475</v>
      </c>
      <c r="R9" s="3">
        <v>7496</v>
      </c>
      <c r="S9" s="3">
        <v>7850</v>
      </c>
      <c r="T9" s="3">
        <v>7669</v>
      </c>
      <c r="U9" s="3">
        <v>8297</v>
      </c>
      <c r="V9" s="3">
        <v>7413</v>
      </c>
      <c r="W9" s="3">
        <v>7444</v>
      </c>
      <c r="X9" s="3">
        <v>7548</v>
      </c>
      <c r="Y9" s="3">
        <v>7954</v>
      </c>
      <c r="Z9" s="3"/>
      <c r="AP9" s="3">
        <v>20010</v>
      </c>
      <c r="AQ9" s="3">
        <v>21547</v>
      </c>
      <c r="AR9" s="3">
        <v>23090</v>
      </c>
      <c r="AS9" s="3">
        <f t="shared" si="2"/>
        <v>31701</v>
      </c>
      <c r="AT9" s="3">
        <f t="shared" si="4"/>
        <v>32780</v>
      </c>
      <c r="AU9" s="3">
        <f t="shared" si="5"/>
        <v>31312</v>
      </c>
      <c r="AV9" s="3">
        <f t="shared" si="6"/>
        <v>30359</v>
      </c>
      <c r="AW9" s="3">
        <f t="shared" ref="AW9:BB9" si="8">+AV9*1.03</f>
        <v>31269.77</v>
      </c>
      <c r="AX9" s="3">
        <f t="shared" si="8"/>
        <v>32207.863100000002</v>
      </c>
      <c r="AY9" s="3">
        <f t="shared" si="8"/>
        <v>33174.098993</v>
      </c>
      <c r="AZ9" s="3">
        <f t="shared" si="8"/>
        <v>34169.321962790003</v>
      </c>
      <c r="BA9" s="3">
        <f t="shared" si="8"/>
        <v>35194.401621673707</v>
      </c>
      <c r="BB9" s="3">
        <f t="shared" si="8"/>
        <v>36250.23367032392</v>
      </c>
      <c r="BD9" s="1" t="s">
        <v>121</v>
      </c>
      <c r="BE9" s="4">
        <v>0.15</v>
      </c>
    </row>
    <row r="10" spans="1:57" x14ac:dyDescent="0.25">
      <c r="A10" s="1" t="s">
        <v>10</v>
      </c>
      <c r="B10" s="3">
        <v>3620</v>
      </c>
      <c r="C10" s="3">
        <v>4080</v>
      </c>
      <c r="D10" s="3">
        <v>4050</v>
      </c>
      <c r="E10" s="3">
        <v>5264</v>
      </c>
      <c r="F10" s="3">
        <v>4435</v>
      </c>
      <c r="G10" s="3">
        <v>5124</v>
      </c>
      <c r="H10" s="3">
        <v>5478</v>
      </c>
      <c r="I10" s="3">
        <v>6674</v>
      </c>
      <c r="J10" s="3">
        <v>6494</v>
      </c>
      <c r="K10" s="3">
        <v>6623</v>
      </c>
      <c r="L10" s="3">
        <v>6754</v>
      </c>
      <c r="M10" s="3">
        <v>8161</v>
      </c>
      <c r="N10" s="3">
        <v>6811</v>
      </c>
      <c r="O10" s="3">
        <v>6553</v>
      </c>
      <c r="P10" s="3">
        <v>6895</v>
      </c>
      <c r="Q10" s="3">
        <v>8796</v>
      </c>
      <c r="R10" s="3">
        <v>7413</v>
      </c>
      <c r="S10" s="3">
        <v>8142</v>
      </c>
      <c r="T10" s="3">
        <v>8339</v>
      </c>
      <c r="U10" s="3">
        <v>10794</v>
      </c>
      <c r="V10" s="3">
        <v>8739</v>
      </c>
      <c r="W10" s="3">
        <v>9312</v>
      </c>
      <c r="X10" s="3">
        <v>10656</v>
      </c>
      <c r="Y10" s="3">
        <v>11633</v>
      </c>
      <c r="Z10" s="3"/>
      <c r="AP10" s="3">
        <v>14063</v>
      </c>
      <c r="AQ10" s="3">
        <v>17014</v>
      </c>
      <c r="AR10" s="3">
        <v>21711</v>
      </c>
      <c r="AS10" s="3">
        <f>+SUM(J10:M10)</f>
        <v>28032</v>
      </c>
      <c r="AT10" s="3">
        <f t="shared" si="4"/>
        <v>29055</v>
      </c>
      <c r="AU10" s="3">
        <f t="shared" si="5"/>
        <v>34688</v>
      </c>
      <c r="AV10" s="3">
        <f t="shared" si="6"/>
        <v>40340</v>
      </c>
      <c r="AW10" s="3">
        <f>+AV10*1.14</f>
        <v>45987.6</v>
      </c>
      <c r="AX10" s="3">
        <f>+AW10*1.12</f>
        <v>51506.112000000001</v>
      </c>
      <c r="AY10" s="3">
        <f t="shared" ref="AY10:BB10" si="9">+AX10*1.12</f>
        <v>57686.845440000005</v>
      </c>
      <c r="AZ10" s="3">
        <f t="shared" si="9"/>
        <v>64609.266892800013</v>
      </c>
      <c r="BA10" s="3">
        <f t="shared" si="9"/>
        <v>72362.378919936018</v>
      </c>
      <c r="BB10" s="3">
        <f t="shared" si="9"/>
        <v>81045.864390328352</v>
      </c>
      <c r="BD10" s="1" t="s">
        <v>64</v>
      </c>
      <c r="BE10" s="3">
        <f>+NPV(BE7,AV28:DJ28)</f>
        <v>1835288.7439991126</v>
      </c>
    </row>
    <row r="11" spans="1:57" x14ac:dyDescent="0.25">
      <c r="A11" s="1" t="s">
        <v>11</v>
      </c>
      <c r="B11" s="3">
        <v>1825</v>
      </c>
      <c r="C11" s="3">
        <v>2100</v>
      </c>
      <c r="D11" s="3">
        <v>2379</v>
      </c>
      <c r="E11" s="3">
        <v>2614</v>
      </c>
      <c r="F11" s="3">
        <v>2777</v>
      </c>
      <c r="G11" s="3">
        <v>3007</v>
      </c>
      <c r="H11" s="3">
        <v>3444</v>
      </c>
      <c r="I11" s="3">
        <v>3831</v>
      </c>
      <c r="J11" s="3">
        <v>4047</v>
      </c>
      <c r="K11" s="3">
        <v>4628</v>
      </c>
      <c r="L11" s="3">
        <v>4990</v>
      </c>
      <c r="M11" s="3">
        <v>5541</v>
      </c>
      <c r="N11" s="3">
        <v>5821</v>
      </c>
      <c r="O11" s="3">
        <v>6276</v>
      </c>
      <c r="P11" s="3">
        <v>6868</v>
      </c>
      <c r="Q11" s="3">
        <v>7315</v>
      </c>
      <c r="R11" s="3">
        <v>7454</v>
      </c>
      <c r="S11" s="3">
        <v>8031</v>
      </c>
      <c r="T11" s="3">
        <v>8411</v>
      </c>
      <c r="U11" s="3">
        <v>9192</v>
      </c>
      <c r="V11" s="3">
        <v>9574</v>
      </c>
      <c r="W11" s="3">
        <v>10347</v>
      </c>
      <c r="X11" s="3">
        <v>11353</v>
      </c>
      <c r="Y11" s="3">
        <v>11955</v>
      </c>
      <c r="Z11" s="3"/>
      <c r="AP11" s="3">
        <v>5838</v>
      </c>
      <c r="AQ11" s="3">
        <v>8918</v>
      </c>
      <c r="AR11" s="3">
        <v>13059</v>
      </c>
      <c r="AS11" s="3">
        <f t="shared" ref="AS11:AS14" si="10">+SUM(J11:M11)</f>
        <v>19206</v>
      </c>
      <c r="AT11" s="3">
        <f t="shared" si="4"/>
        <v>26280</v>
      </c>
      <c r="AU11" s="3">
        <f t="shared" si="5"/>
        <v>33088</v>
      </c>
      <c r="AV11" s="3">
        <f t="shared" si="6"/>
        <v>43229</v>
      </c>
      <c r="AW11" s="3">
        <f>+AV11*1.3</f>
        <v>56197.700000000004</v>
      </c>
      <c r="AX11" s="3">
        <f t="shared" ref="AX11" si="11">+AW11*1.3</f>
        <v>73057.010000000009</v>
      </c>
      <c r="AY11" s="3">
        <f t="shared" ref="AY11" si="12">+AX11*1.25</f>
        <v>91321.262500000012</v>
      </c>
      <c r="AZ11" s="3">
        <f t="shared" ref="AZ11" si="13">+AY11*1.25</f>
        <v>114151.57812500001</v>
      </c>
      <c r="BA11" s="3">
        <f t="shared" ref="BA11" si="14">+AZ11*1.25</f>
        <v>142689.47265625003</v>
      </c>
      <c r="BB11" s="3">
        <f t="shared" ref="BB11" si="15">+BA11*1.25</f>
        <v>178361.84082031253</v>
      </c>
      <c r="BD11" s="1" t="s">
        <v>65</v>
      </c>
      <c r="BE11" s="3">
        <f>+AV56</f>
        <v>122756</v>
      </c>
    </row>
    <row r="12" spans="1:57" x14ac:dyDescent="0.25">
      <c r="A12" s="1" t="s">
        <v>148</v>
      </c>
      <c r="B12" s="3"/>
      <c r="C12" s="3"/>
      <c r="D12" s="3"/>
      <c r="E12" s="3"/>
      <c r="F12" s="3"/>
      <c r="G12" s="3"/>
      <c r="H12" s="3"/>
      <c r="I12" s="3"/>
      <c r="J12" s="3"/>
      <c r="K12" s="3"/>
      <c r="L12" s="3"/>
      <c r="M12" s="3"/>
      <c r="N12" s="3"/>
      <c r="O12" s="3"/>
      <c r="P12" s="3"/>
      <c r="Q12" s="3"/>
      <c r="R12" s="3"/>
      <c r="S12" s="3"/>
      <c r="T12" s="3"/>
      <c r="U12" s="3"/>
      <c r="V12" s="3"/>
      <c r="W12" s="3"/>
      <c r="X12" s="3"/>
      <c r="Y12" s="3"/>
      <c r="Z12" s="3"/>
      <c r="AP12" s="3"/>
      <c r="AQ12" s="3"/>
      <c r="AR12" s="3"/>
      <c r="AS12" s="3"/>
      <c r="AT12" s="3"/>
      <c r="AU12" s="3"/>
      <c r="AV12" s="3"/>
      <c r="AW12" s="3">
        <v>1000</v>
      </c>
      <c r="AX12" s="3">
        <f>+AW12*2</f>
        <v>2000</v>
      </c>
      <c r="AY12" s="3">
        <f t="shared" ref="AY12:BB12" si="16">+AX12*2</f>
        <v>4000</v>
      </c>
      <c r="AZ12" s="3">
        <f t="shared" si="16"/>
        <v>8000</v>
      </c>
      <c r="BA12" s="3">
        <f t="shared" si="16"/>
        <v>16000</v>
      </c>
      <c r="BB12" s="3">
        <f t="shared" si="16"/>
        <v>32000</v>
      </c>
      <c r="BD12" s="1" t="s">
        <v>66</v>
      </c>
      <c r="BE12" s="3">
        <f>+BE10+BE11</f>
        <v>1958044.7439991126</v>
      </c>
    </row>
    <row r="13" spans="1:57" x14ac:dyDescent="0.25">
      <c r="A13" s="1" t="s">
        <v>12</v>
      </c>
      <c r="B13" s="3">
        <v>170</v>
      </c>
      <c r="C13" s="3">
        <v>162</v>
      </c>
      <c r="D13" s="3">
        <v>155</v>
      </c>
      <c r="E13" s="3">
        <v>172</v>
      </c>
      <c r="F13" s="3">
        <v>135</v>
      </c>
      <c r="G13" s="3">
        <v>148</v>
      </c>
      <c r="H13" s="3">
        <v>178</v>
      </c>
      <c r="I13" s="3">
        <v>196</v>
      </c>
      <c r="J13" s="3">
        <v>198</v>
      </c>
      <c r="K13" s="3">
        <v>192</v>
      </c>
      <c r="L13" s="3">
        <v>182</v>
      </c>
      <c r="M13" s="3">
        <v>181</v>
      </c>
      <c r="N13" s="3">
        <v>440</v>
      </c>
      <c r="O13" s="3">
        <v>193</v>
      </c>
      <c r="P13" s="3">
        <v>209</v>
      </c>
      <c r="Q13" s="3">
        <v>226</v>
      </c>
      <c r="R13" s="3">
        <v>288</v>
      </c>
      <c r="S13" s="3">
        <v>285</v>
      </c>
      <c r="T13" s="3">
        <v>297</v>
      </c>
      <c r="U13" s="3">
        <v>657</v>
      </c>
      <c r="V13" s="3">
        <v>495</v>
      </c>
      <c r="W13" s="3">
        <v>365</v>
      </c>
      <c r="X13" s="3">
        <v>388</v>
      </c>
      <c r="Y13" s="3">
        <v>400</v>
      </c>
      <c r="Z13" s="3"/>
      <c r="AP13" s="3">
        <v>595</v>
      </c>
      <c r="AQ13" s="3">
        <v>659</v>
      </c>
      <c r="AR13" s="3">
        <v>657</v>
      </c>
      <c r="AS13" s="3">
        <f t="shared" si="10"/>
        <v>753</v>
      </c>
      <c r="AT13" s="3">
        <f t="shared" si="4"/>
        <v>1068</v>
      </c>
      <c r="AU13" s="3">
        <f t="shared" si="5"/>
        <v>1527</v>
      </c>
      <c r="AV13" s="3">
        <f t="shared" si="6"/>
        <v>1648</v>
      </c>
      <c r="AW13" s="3">
        <f t="shared" ref="AW13:BB13" si="17">+AV13*1.03</f>
        <v>1697.44</v>
      </c>
      <c r="AX13" s="3">
        <f t="shared" si="17"/>
        <v>1748.3632</v>
      </c>
      <c r="AY13" s="3">
        <f t="shared" si="17"/>
        <v>1800.8140960000001</v>
      </c>
      <c r="AZ13" s="3">
        <f t="shared" si="17"/>
        <v>1854.83851888</v>
      </c>
      <c r="BA13" s="3">
        <f t="shared" si="17"/>
        <v>1910.4836744464001</v>
      </c>
      <c r="BB13" s="3">
        <f t="shared" si="17"/>
        <v>1967.798184679792</v>
      </c>
      <c r="BD13" s="1" t="s">
        <v>67</v>
      </c>
      <c r="BE13" s="5">
        <f>+BE12/main!B3</f>
        <v>159.06131145403026</v>
      </c>
    </row>
    <row r="14" spans="1:57" x14ac:dyDescent="0.25">
      <c r="A14" s="1" t="s">
        <v>13</v>
      </c>
      <c r="B14" s="3">
        <v>137</v>
      </c>
      <c r="C14" s="3">
        <v>108</v>
      </c>
      <c r="D14" s="3">
        <v>119</v>
      </c>
      <c r="E14" s="3">
        <v>91</v>
      </c>
      <c r="F14" s="3">
        <v>49</v>
      </c>
      <c r="G14" s="3">
        <v>151</v>
      </c>
      <c r="H14" s="3">
        <v>-22</v>
      </c>
      <c r="I14" s="3">
        <v>-2</v>
      </c>
      <c r="J14" s="3">
        <v>-109</v>
      </c>
      <c r="K14" s="3">
        <v>-7</v>
      </c>
      <c r="L14" s="3">
        <v>62</v>
      </c>
      <c r="M14" s="3">
        <v>203</v>
      </c>
      <c r="N14" s="3">
        <v>278</v>
      </c>
      <c r="O14" s="3">
        <v>375</v>
      </c>
      <c r="P14" s="3">
        <v>638</v>
      </c>
      <c r="Q14" s="3">
        <v>669</v>
      </c>
      <c r="R14" s="3">
        <v>84</v>
      </c>
      <c r="S14" s="3">
        <v>3</v>
      </c>
      <c r="T14" s="3">
        <v>-1</v>
      </c>
      <c r="U14" s="3">
        <v>150</v>
      </c>
      <c r="V14" s="3">
        <v>72</v>
      </c>
      <c r="W14" s="3">
        <v>102</v>
      </c>
      <c r="X14" s="3">
        <v>17</v>
      </c>
      <c r="Y14" s="3">
        <v>200</v>
      </c>
      <c r="Z14" s="3"/>
      <c r="AP14" s="3">
        <v>-138</v>
      </c>
      <c r="AQ14" s="3">
        <v>455</v>
      </c>
      <c r="AR14" s="3">
        <v>176</v>
      </c>
      <c r="AS14" s="3">
        <f t="shared" si="10"/>
        <v>149</v>
      </c>
      <c r="AT14" s="3">
        <f t="shared" si="4"/>
        <v>1960</v>
      </c>
      <c r="AU14" s="3">
        <f t="shared" si="5"/>
        <v>236</v>
      </c>
      <c r="AV14" s="3">
        <v>211</v>
      </c>
      <c r="AW14" s="3">
        <f t="shared" ref="AW14:BB14" si="18">+AV14*1.03</f>
        <v>217.33</v>
      </c>
      <c r="AX14" s="3">
        <f t="shared" si="18"/>
        <v>223.84990000000002</v>
      </c>
      <c r="AY14" s="3">
        <f t="shared" si="18"/>
        <v>230.56539700000002</v>
      </c>
      <c r="AZ14" s="3">
        <f t="shared" si="18"/>
        <v>237.48235891000002</v>
      </c>
      <c r="BA14" s="3">
        <f t="shared" si="18"/>
        <v>244.60682967730003</v>
      </c>
      <c r="BB14" s="3">
        <f t="shared" si="18"/>
        <v>251.94503456761905</v>
      </c>
      <c r="BE14" s="16">
        <f ca="1">+BE13/main!B2-1</f>
        <v>4.654206072229794E-2</v>
      </c>
    </row>
    <row r="15" spans="1:57" x14ac:dyDescent="0.25">
      <c r="B15" s="3"/>
      <c r="C15" s="3"/>
      <c r="D15" s="3"/>
      <c r="E15" s="3"/>
      <c r="F15" s="3"/>
      <c r="G15" s="3"/>
      <c r="H15" s="3"/>
      <c r="I15" s="3"/>
      <c r="J15" s="3"/>
      <c r="K15" s="3"/>
      <c r="L15" s="3"/>
      <c r="M15" s="3"/>
      <c r="N15" s="3"/>
      <c r="O15" s="3"/>
      <c r="P15" s="3"/>
      <c r="Q15" s="3"/>
      <c r="R15" s="3"/>
      <c r="S15" s="3"/>
      <c r="T15" s="3"/>
      <c r="U15" s="3"/>
      <c r="V15" s="3"/>
      <c r="W15" s="3"/>
      <c r="X15" s="3"/>
      <c r="Y15" s="3"/>
      <c r="Z15" s="3"/>
      <c r="AP15" s="3"/>
      <c r="AQ15" s="3"/>
      <c r="AR15" s="3"/>
      <c r="AS15" s="3"/>
      <c r="AT15" s="3"/>
      <c r="AU15" s="3"/>
      <c r="AV15" s="3"/>
      <c r="AW15" s="3"/>
      <c r="AX15" s="3"/>
      <c r="AY15" s="3"/>
      <c r="AZ15" s="3"/>
      <c r="BA15" s="3"/>
      <c r="BB15" s="3"/>
      <c r="BE15" s="7"/>
    </row>
    <row r="16" spans="1:57" x14ac:dyDescent="0.25">
      <c r="A16" s="2" t="s">
        <v>21</v>
      </c>
      <c r="B16" s="6">
        <f>+SUM(B7:B14)</f>
        <v>36339</v>
      </c>
      <c r="C16" s="6">
        <f t="shared" ref="C16:Y16" si="19">+SUM(C7:C14)</f>
        <v>38944</v>
      </c>
      <c r="D16" s="6">
        <f t="shared" si="19"/>
        <v>40499</v>
      </c>
      <c r="E16" s="6">
        <f t="shared" si="19"/>
        <v>46075</v>
      </c>
      <c r="F16" s="6">
        <f t="shared" si="19"/>
        <v>41159</v>
      </c>
      <c r="G16" s="6">
        <f t="shared" si="19"/>
        <v>38297</v>
      </c>
      <c r="H16" s="6">
        <f t="shared" si="19"/>
        <v>46173</v>
      </c>
      <c r="I16" s="6">
        <f t="shared" si="19"/>
        <v>56898</v>
      </c>
      <c r="J16" s="6">
        <f t="shared" si="19"/>
        <v>55314</v>
      </c>
      <c r="K16" s="6">
        <f t="shared" si="19"/>
        <v>61880</v>
      </c>
      <c r="L16" s="6">
        <f t="shared" si="19"/>
        <v>65118</v>
      </c>
      <c r="M16" s="6">
        <f t="shared" si="19"/>
        <v>75325</v>
      </c>
      <c r="N16" s="6">
        <f t="shared" si="19"/>
        <v>68011</v>
      </c>
      <c r="O16" s="6">
        <f t="shared" si="19"/>
        <v>69685</v>
      </c>
      <c r="P16" s="6">
        <f t="shared" si="19"/>
        <v>69092</v>
      </c>
      <c r="Q16" s="6">
        <f t="shared" si="19"/>
        <v>76048</v>
      </c>
      <c r="R16" s="6">
        <f t="shared" si="19"/>
        <v>69787</v>
      </c>
      <c r="S16" s="6">
        <f t="shared" si="19"/>
        <v>74604</v>
      </c>
      <c r="T16" s="6">
        <f>+SUM(T7:T14)</f>
        <v>76693</v>
      </c>
      <c r="U16" s="6">
        <f>+SUM(U7:U14)</f>
        <v>86310</v>
      </c>
      <c r="V16" s="6">
        <f t="shared" si="19"/>
        <v>80539</v>
      </c>
      <c r="W16" s="6">
        <f t="shared" si="19"/>
        <v>84742</v>
      </c>
      <c r="X16" s="6">
        <f t="shared" si="19"/>
        <v>88268</v>
      </c>
      <c r="Y16" s="6">
        <f t="shared" si="19"/>
        <v>96649</v>
      </c>
      <c r="Z16" s="6">
        <v>89000</v>
      </c>
      <c r="AE16" s="18">
        <v>16594</v>
      </c>
      <c r="AF16" s="18">
        <v>21796</v>
      </c>
      <c r="AG16" s="18">
        <v>23651</v>
      </c>
      <c r="AH16" s="18">
        <v>29321</v>
      </c>
      <c r="AI16" s="18">
        <v>37905</v>
      </c>
      <c r="AJ16" s="18">
        <v>46039</v>
      </c>
      <c r="AK16" s="18">
        <v>55519</v>
      </c>
      <c r="AL16" s="18">
        <v>66001</v>
      </c>
      <c r="AM16" s="18">
        <v>74989</v>
      </c>
      <c r="AN16" s="18">
        <v>90272</v>
      </c>
      <c r="AO16" s="18">
        <v>110855</v>
      </c>
      <c r="AP16" s="6">
        <f>+SUM(AP7:AP14)</f>
        <v>136819</v>
      </c>
      <c r="AQ16" s="6">
        <f t="shared" ref="AQ16:AW16" si="20">+SUM(AQ7:AQ14)</f>
        <v>161857</v>
      </c>
      <c r="AR16" s="6">
        <f t="shared" si="20"/>
        <v>182527</v>
      </c>
      <c r="AS16" s="6">
        <f t="shared" si="20"/>
        <v>257637</v>
      </c>
      <c r="AT16" s="6">
        <f t="shared" si="20"/>
        <v>282836</v>
      </c>
      <c r="AU16" s="6">
        <f t="shared" si="20"/>
        <v>307394</v>
      </c>
      <c r="AV16" s="6">
        <f t="shared" si="20"/>
        <v>350018</v>
      </c>
      <c r="AW16" s="6">
        <f t="shared" si="20"/>
        <v>395469.82</v>
      </c>
      <c r="AX16" s="6">
        <f t="shared" ref="AX16:BB16" si="21">+SUM(AX7:AX14)</f>
        <v>446165.25200000009</v>
      </c>
      <c r="AY16" s="6">
        <f t="shared" si="21"/>
        <v>502177.84560600005</v>
      </c>
      <c r="AZ16" s="6">
        <f t="shared" si="21"/>
        <v>568383.17295638006</v>
      </c>
      <c r="BA16" s="6">
        <f t="shared" si="21"/>
        <v>648298.09730978357</v>
      </c>
      <c r="BB16" s="6">
        <f t="shared" si="21"/>
        <v>747764.11106879241</v>
      </c>
    </row>
    <row r="17" spans="1:114" x14ac:dyDescent="0.25">
      <c r="A17" s="1" t="s">
        <v>38</v>
      </c>
      <c r="B17" s="3">
        <v>16012</v>
      </c>
      <c r="C17" s="3">
        <v>17296</v>
      </c>
      <c r="D17" s="3">
        <v>17568</v>
      </c>
      <c r="E17" s="3">
        <v>21020</v>
      </c>
      <c r="F17" s="3">
        <v>18982</v>
      </c>
      <c r="G17" s="3">
        <v>18553</v>
      </c>
      <c r="H17" s="3">
        <v>21117</v>
      </c>
      <c r="I17" s="3">
        <v>26080</v>
      </c>
      <c r="J17" s="3">
        <v>24103</v>
      </c>
      <c r="K17" s="3">
        <v>26227</v>
      </c>
      <c r="L17" s="3">
        <v>27621</v>
      </c>
      <c r="M17" s="3">
        <v>32988</v>
      </c>
      <c r="N17" s="3">
        <v>29599</v>
      </c>
      <c r="O17" s="3">
        <v>30104</v>
      </c>
      <c r="P17" s="3">
        <v>31158</v>
      </c>
      <c r="Q17" s="3">
        <v>35342</v>
      </c>
      <c r="R17" s="3">
        <v>30612</v>
      </c>
      <c r="S17" s="3">
        <v>31916</v>
      </c>
      <c r="T17" s="3">
        <v>33229</v>
      </c>
      <c r="U17" s="3">
        <v>37575</v>
      </c>
      <c r="V17" s="3">
        <v>33712</v>
      </c>
      <c r="W17" s="3">
        <v>35507</v>
      </c>
      <c r="X17" s="3">
        <v>36474</v>
      </c>
      <c r="Y17" s="3">
        <v>40613</v>
      </c>
      <c r="Z17" s="3"/>
      <c r="AE17" s="19">
        <v>6649.1</v>
      </c>
      <c r="AF17" s="19">
        <v>8622</v>
      </c>
      <c r="AG17" s="19">
        <v>8844</v>
      </c>
      <c r="AH17" s="19">
        <v>10417</v>
      </c>
      <c r="AI17" s="19">
        <v>13188</v>
      </c>
      <c r="AJ17" s="19">
        <v>17176</v>
      </c>
      <c r="AK17" s="19">
        <v>21993</v>
      </c>
      <c r="AL17" s="19">
        <v>25691</v>
      </c>
      <c r="AM17" s="19">
        <v>28164</v>
      </c>
      <c r="AN17" s="19">
        <v>35138</v>
      </c>
      <c r="AO17" s="19">
        <v>45583</v>
      </c>
      <c r="AP17" s="3">
        <v>59549</v>
      </c>
      <c r="AQ17" s="3">
        <v>74896</v>
      </c>
      <c r="AR17" s="3">
        <v>84732</v>
      </c>
      <c r="AS17" s="3">
        <f t="shared" ref="AS17" si="22">+SUM(J17:M17)</f>
        <v>110939</v>
      </c>
      <c r="AT17" s="3">
        <f>+SUM(N17:Q17)</f>
        <v>126203</v>
      </c>
      <c r="AU17" s="3">
        <f>+SUM(R17:U17)</f>
        <v>133332</v>
      </c>
      <c r="AV17" s="3">
        <f t="shared" ref="AV17:AV21" si="23">+SUM(V17:Y17)</f>
        <v>146306</v>
      </c>
      <c r="AW17" s="3">
        <f>+AW16*0.42</f>
        <v>166097.32439999998</v>
      </c>
      <c r="AX17" s="3">
        <f>+AX16*0.415</f>
        <v>185158.57958000002</v>
      </c>
      <c r="AY17" s="3">
        <f>+AY16*0.41</f>
        <v>205892.91669846</v>
      </c>
      <c r="AZ17" s="3">
        <f>+AZ16*0.405</f>
        <v>230195.18504733394</v>
      </c>
      <c r="BA17" s="3">
        <f>+BA16*0.4</f>
        <v>259319.23892391345</v>
      </c>
      <c r="BB17" s="3">
        <f>+BB16*0.395</f>
        <v>295366.82387217303</v>
      </c>
    </row>
    <row r="18" spans="1:114" x14ac:dyDescent="0.25">
      <c r="A18" s="1" t="s">
        <v>39</v>
      </c>
      <c r="B18" s="3">
        <f t="shared" ref="B18:V18" si="24">+B16-B17</f>
        <v>20327</v>
      </c>
      <c r="C18" s="3">
        <f>+C16-C17</f>
        <v>21648</v>
      </c>
      <c r="D18" s="3">
        <f t="shared" si="24"/>
        <v>22931</v>
      </c>
      <c r="E18" s="3">
        <f t="shared" si="24"/>
        <v>25055</v>
      </c>
      <c r="F18" s="3">
        <f t="shared" si="24"/>
        <v>22177</v>
      </c>
      <c r="G18" s="3">
        <f t="shared" si="24"/>
        <v>19744</v>
      </c>
      <c r="H18" s="3">
        <f t="shared" si="24"/>
        <v>25056</v>
      </c>
      <c r="I18" s="3">
        <f t="shared" si="24"/>
        <v>30818</v>
      </c>
      <c r="J18" s="3">
        <f t="shared" si="24"/>
        <v>31211</v>
      </c>
      <c r="K18" s="3">
        <f t="shared" si="24"/>
        <v>35653</v>
      </c>
      <c r="L18" s="3">
        <f t="shared" si="24"/>
        <v>37497</v>
      </c>
      <c r="M18" s="3">
        <f t="shared" si="24"/>
        <v>42337</v>
      </c>
      <c r="N18" s="3">
        <f t="shared" si="24"/>
        <v>38412</v>
      </c>
      <c r="O18" s="3">
        <f t="shared" si="24"/>
        <v>39581</v>
      </c>
      <c r="P18" s="3">
        <f t="shared" si="24"/>
        <v>37934</v>
      </c>
      <c r="Q18" s="3">
        <f t="shared" si="24"/>
        <v>40706</v>
      </c>
      <c r="R18" s="3">
        <f>+R16-R17</f>
        <v>39175</v>
      </c>
      <c r="S18" s="3">
        <f t="shared" si="24"/>
        <v>42688</v>
      </c>
      <c r="T18" s="3">
        <f t="shared" si="24"/>
        <v>43464</v>
      </c>
      <c r="U18" s="3">
        <f t="shared" si="24"/>
        <v>48735</v>
      </c>
      <c r="V18" s="3">
        <f t="shared" si="24"/>
        <v>46827</v>
      </c>
      <c r="W18" s="3">
        <f>+W16-W17</f>
        <v>49235</v>
      </c>
      <c r="X18" s="3">
        <f t="shared" ref="X18:Y18" si="25">+X16-X17</f>
        <v>51794</v>
      </c>
      <c r="Y18" s="3">
        <f t="shared" si="25"/>
        <v>56036</v>
      </c>
      <c r="Z18" s="3"/>
      <c r="AE18" s="3">
        <f t="shared" ref="AE18:AO18" si="26">+AE16-AE17</f>
        <v>9944.9</v>
      </c>
      <c r="AF18" s="3">
        <f t="shared" si="26"/>
        <v>13174</v>
      </c>
      <c r="AG18" s="3">
        <f t="shared" si="26"/>
        <v>14807</v>
      </c>
      <c r="AH18" s="3">
        <f t="shared" si="26"/>
        <v>18904</v>
      </c>
      <c r="AI18" s="3">
        <f t="shared" si="26"/>
        <v>24717</v>
      </c>
      <c r="AJ18" s="3">
        <f t="shared" si="26"/>
        <v>28863</v>
      </c>
      <c r="AK18" s="3">
        <f t="shared" si="26"/>
        <v>33526</v>
      </c>
      <c r="AL18" s="3">
        <f t="shared" si="26"/>
        <v>40310</v>
      </c>
      <c r="AM18" s="3">
        <f t="shared" si="26"/>
        <v>46825</v>
      </c>
      <c r="AN18" s="3">
        <f t="shared" si="26"/>
        <v>55134</v>
      </c>
      <c r="AO18" s="3">
        <f t="shared" si="26"/>
        <v>65272</v>
      </c>
      <c r="AP18" s="3">
        <f t="shared" ref="AP18:BB18" si="27">+AP16-AP17</f>
        <v>77270</v>
      </c>
      <c r="AQ18" s="3">
        <f t="shared" si="27"/>
        <v>86961</v>
      </c>
      <c r="AR18" s="3">
        <f t="shared" si="27"/>
        <v>97795</v>
      </c>
      <c r="AS18" s="3">
        <f t="shared" si="27"/>
        <v>146698</v>
      </c>
      <c r="AT18" s="3">
        <f t="shared" si="27"/>
        <v>156633</v>
      </c>
      <c r="AU18" s="3">
        <f t="shared" si="27"/>
        <v>174062</v>
      </c>
      <c r="AV18" s="3">
        <f t="shared" si="23"/>
        <v>203892</v>
      </c>
      <c r="AW18" s="3">
        <f t="shared" si="27"/>
        <v>229372.49560000002</v>
      </c>
      <c r="AX18" s="3">
        <f t="shared" si="27"/>
        <v>261006.67242000008</v>
      </c>
      <c r="AY18" s="3">
        <f t="shared" si="27"/>
        <v>296284.92890754004</v>
      </c>
      <c r="AZ18" s="3">
        <f t="shared" si="27"/>
        <v>338187.98790904612</v>
      </c>
      <c r="BA18" s="3">
        <f t="shared" si="27"/>
        <v>388978.85838587012</v>
      </c>
      <c r="BB18" s="3">
        <f t="shared" si="27"/>
        <v>452397.28719661938</v>
      </c>
    </row>
    <row r="19" spans="1:114" x14ac:dyDescent="0.25">
      <c r="A19" s="1" t="s">
        <v>40</v>
      </c>
      <c r="B19" s="3">
        <v>6029</v>
      </c>
      <c r="C19" s="3">
        <v>6213</v>
      </c>
      <c r="D19" s="3">
        <v>6554</v>
      </c>
      <c r="E19" s="3">
        <v>7222</v>
      </c>
      <c r="F19" s="3">
        <v>6820</v>
      </c>
      <c r="G19" s="3">
        <v>6875</v>
      </c>
      <c r="H19" s="3">
        <v>6856</v>
      </c>
      <c r="I19" s="3">
        <v>7022</v>
      </c>
      <c r="J19" s="3">
        <v>7485</v>
      </c>
      <c r="K19" s="3">
        <v>7625</v>
      </c>
      <c r="L19" s="3">
        <v>7694</v>
      </c>
      <c r="M19" s="3">
        <v>8708</v>
      </c>
      <c r="N19" s="3">
        <v>9119</v>
      </c>
      <c r="O19" s="3">
        <v>6841</v>
      </c>
      <c r="P19" s="3">
        <v>10273</v>
      </c>
      <c r="Q19" s="3">
        <v>10267</v>
      </c>
      <c r="R19" s="3">
        <v>11468</v>
      </c>
      <c r="S19" s="3">
        <v>10588</v>
      </c>
      <c r="T19" s="3">
        <v>11258</v>
      </c>
      <c r="U19" s="3">
        <v>12113</v>
      </c>
      <c r="V19" s="3">
        <v>11903</v>
      </c>
      <c r="W19" s="3">
        <v>11860</v>
      </c>
      <c r="X19" s="3">
        <v>12447</v>
      </c>
      <c r="Y19" s="3">
        <v>13116</v>
      </c>
      <c r="Z19" s="3"/>
      <c r="AE19" s="19">
        <v>2120</v>
      </c>
      <c r="AF19" s="19">
        <v>2793</v>
      </c>
      <c r="AG19" s="19">
        <v>2843</v>
      </c>
      <c r="AH19" s="19">
        <v>3762</v>
      </c>
      <c r="AI19" s="19">
        <v>5162</v>
      </c>
      <c r="AJ19" s="19">
        <v>6083</v>
      </c>
      <c r="AK19" s="19">
        <v>7137</v>
      </c>
      <c r="AL19" s="19">
        <v>9832</v>
      </c>
      <c r="AM19" s="19">
        <v>12282</v>
      </c>
      <c r="AN19" s="19">
        <v>13948</v>
      </c>
      <c r="AO19" s="19">
        <v>16625</v>
      </c>
      <c r="AP19" s="3">
        <v>21419</v>
      </c>
      <c r="AQ19" s="3">
        <v>26018</v>
      </c>
      <c r="AR19" s="3">
        <v>27573</v>
      </c>
      <c r="AS19" s="3">
        <f t="shared" ref="AS19:AS21" si="28">+SUM(J19:M19)</f>
        <v>31512</v>
      </c>
      <c r="AT19" s="3">
        <f t="shared" ref="AT19:AT21" si="29">+SUM(N19:Q19)</f>
        <v>36500</v>
      </c>
      <c r="AU19" s="3">
        <f t="shared" ref="AU19:AU21" si="30">+SUM(R19:U19)</f>
        <v>45427</v>
      </c>
      <c r="AV19" s="3">
        <f t="shared" si="23"/>
        <v>49326</v>
      </c>
      <c r="AW19" s="3">
        <f>+AW16*0.145</f>
        <v>57343.123899999999</v>
      </c>
      <c r="AX19" s="3">
        <f>+AX16*0.143</f>
        <v>63801.631036000006</v>
      </c>
      <c r="AY19" s="3">
        <f>+AY16*0.142</f>
        <v>71309.254076052006</v>
      </c>
      <c r="AZ19" s="3">
        <f>+AZ16*0.13</f>
        <v>73889.812484329406</v>
      </c>
      <c r="BA19" s="3">
        <f t="shared" ref="BA19:BB19" si="31">+BA16*0.13</f>
        <v>84278.752650271868</v>
      </c>
      <c r="BB19" s="3">
        <f t="shared" si="31"/>
        <v>97209.334438943013</v>
      </c>
    </row>
    <row r="20" spans="1:114" x14ac:dyDescent="0.25">
      <c r="A20" s="1" t="s">
        <v>41</v>
      </c>
      <c r="B20" s="3">
        <v>3905</v>
      </c>
      <c r="C20" s="3">
        <v>4212</v>
      </c>
      <c r="D20" s="3">
        <v>4609</v>
      </c>
      <c r="E20" s="3">
        <v>5738</v>
      </c>
      <c r="F20" s="3">
        <v>4500</v>
      </c>
      <c r="G20" s="3">
        <v>3901</v>
      </c>
      <c r="H20" s="3">
        <v>4231</v>
      </c>
      <c r="I20" s="3">
        <v>5314</v>
      </c>
      <c r="J20" s="3">
        <v>4516</v>
      </c>
      <c r="K20" s="3">
        <v>5276</v>
      </c>
      <c r="L20" s="3">
        <v>5516</v>
      </c>
      <c r="M20" s="3">
        <v>7604</v>
      </c>
      <c r="N20" s="3">
        <v>5825</v>
      </c>
      <c r="O20" s="3">
        <v>6630</v>
      </c>
      <c r="P20" s="3">
        <v>6929</v>
      </c>
      <c r="Q20" s="3">
        <v>7183</v>
      </c>
      <c r="R20" s="3">
        <v>6533</v>
      </c>
      <c r="S20" s="3">
        <v>6781</v>
      </c>
      <c r="T20" s="3">
        <v>6884</v>
      </c>
      <c r="U20" s="3">
        <v>7719</v>
      </c>
      <c r="V20" s="3">
        <v>6426</v>
      </c>
      <c r="W20" s="3">
        <v>6792</v>
      </c>
      <c r="X20" s="3">
        <v>7227</v>
      </c>
      <c r="Y20" s="3">
        <v>7363</v>
      </c>
      <c r="Z20" s="3"/>
      <c r="AE20" s="3"/>
      <c r="AF20" s="3"/>
      <c r="AG20" s="3"/>
      <c r="AH20" s="3"/>
      <c r="AI20" s="3"/>
      <c r="AJ20" s="3"/>
      <c r="AK20" s="3"/>
      <c r="AL20" s="3"/>
      <c r="AM20" s="3"/>
      <c r="AN20" s="3"/>
      <c r="AO20" s="3"/>
      <c r="AP20" s="3">
        <v>16333</v>
      </c>
      <c r="AQ20" s="3">
        <v>18464</v>
      </c>
      <c r="AR20" s="3">
        <v>17946</v>
      </c>
      <c r="AS20" s="3">
        <f t="shared" si="28"/>
        <v>22912</v>
      </c>
      <c r="AT20" s="3">
        <f t="shared" si="29"/>
        <v>26567</v>
      </c>
      <c r="AU20" s="3">
        <f t="shared" si="30"/>
        <v>27917</v>
      </c>
      <c r="AV20" s="3">
        <f t="shared" si="23"/>
        <v>27808</v>
      </c>
      <c r="AW20" s="3">
        <f t="shared" ref="AW20:BB20" si="32">+AV20*1.05</f>
        <v>29198.400000000001</v>
      </c>
      <c r="AX20" s="3">
        <f t="shared" si="32"/>
        <v>30658.320000000003</v>
      </c>
      <c r="AY20" s="3">
        <f t="shared" si="32"/>
        <v>32191.236000000004</v>
      </c>
      <c r="AZ20" s="3">
        <f t="shared" si="32"/>
        <v>33800.797800000008</v>
      </c>
      <c r="BA20" s="3">
        <f t="shared" si="32"/>
        <v>35490.837690000008</v>
      </c>
      <c r="BB20" s="3">
        <f t="shared" si="32"/>
        <v>37265.37957450001</v>
      </c>
    </row>
    <row r="21" spans="1:114" x14ac:dyDescent="0.25">
      <c r="A21" s="1" t="s">
        <v>42</v>
      </c>
      <c r="B21" s="3">
        <v>2088</v>
      </c>
      <c r="C21" s="3">
        <v>2043</v>
      </c>
      <c r="D21" s="3">
        <v>2591</v>
      </c>
      <c r="E21" s="3">
        <v>2829</v>
      </c>
      <c r="F21" s="3">
        <v>2880</v>
      </c>
      <c r="G21" s="3">
        <v>2585</v>
      </c>
      <c r="H21" s="3">
        <v>2756</v>
      </c>
      <c r="I21" s="3">
        <v>2831</v>
      </c>
      <c r="J21" s="3">
        <v>2773</v>
      </c>
      <c r="K21" s="3">
        <v>3341</v>
      </c>
      <c r="L21" s="3">
        <v>3256</v>
      </c>
      <c r="M21" s="3">
        <v>4140</v>
      </c>
      <c r="N21" s="3">
        <v>3374</v>
      </c>
      <c r="O21" s="3">
        <v>3657</v>
      </c>
      <c r="P21" s="3">
        <v>3597</v>
      </c>
      <c r="Q21" s="3">
        <v>5096</v>
      </c>
      <c r="R21" s="3">
        <v>3759</v>
      </c>
      <c r="S21" s="3">
        <v>3481</v>
      </c>
      <c r="T21" s="3">
        <v>3979</v>
      </c>
      <c r="U21" s="3">
        <v>5206</v>
      </c>
      <c r="V21" s="3">
        <v>3026</v>
      </c>
      <c r="W21" s="3">
        <v>3158</v>
      </c>
      <c r="X21" s="3">
        <v>3599</v>
      </c>
      <c r="Y21" s="3">
        <v>4405</v>
      </c>
      <c r="Z21" s="3"/>
      <c r="AE21" s="19"/>
      <c r="AF21" s="19"/>
      <c r="AG21" s="19"/>
      <c r="AH21" s="19"/>
      <c r="AI21" s="19"/>
      <c r="AJ21" s="19"/>
      <c r="AK21" s="19"/>
      <c r="AL21" s="19"/>
      <c r="AM21" s="19"/>
      <c r="AN21" s="19"/>
      <c r="AO21" s="19"/>
      <c r="AP21" s="3">
        <v>6923</v>
      </c>
      <c r="AQ21" s="3">
        <v>9551</v>
      </c>
      <c r="AR21" s="3">
        <v>11052</v>
      </c>
      <c r="AS21" s="3">
        <f t="shared" si="28"/>
        <v>13510</v>
      </c>
      <c r="AT21" s="3">
        <f t="shared" si="29"/>
        <v>15724</v>
      </c>
      <c r="AU21" s="3">
        <f t="shared" si="30"/>
        <v>16425</v>
      </c>
      <c r="AV21" s="3">
        <f t="shared" si="23"/>
        <v>14188</v>
      </c>
      <c r="AW21" s="3">
        <f t="shared" ref="AW21:BB21" si="33">+AV21*1.06</f>
        <v>15039.28</v>
      </c>
      <c r="AX21" s="3">
        <f t="shared" si="33"/>
        <v>15941.636800000002</v>
      </c>
      <c r="AY21" s="3">
        <f t="shared" si="33"/>
        <v>16898.135008000005</v>
      </c>
      <c r="AZ21" s="3">
        <f t="shared" si="33"/>
        <v>17912.023108480007</v>
      </c>
      <c r="BA21" s="3">
        <f t="shared" si="33"/>
        <v>18986.744494988809</v>
      </c>
      <c r="BB21" s="3">
        <f t="shared" si="33"/>
        <v>20125.94916468814</v>
      </c>
    </row>
    <row r="22" spans="1:114" x14ac:dyDescent="0.25">
      <c r="A22" s="1" t="s">
        <v>61</v>
      </c>
      <c r="B22" s="3">
        <v>1697</v>
      </c>
      <c r="C22" s="3"/>
      <c r="D22" s="3"/>
      <c r="E22" s="3"/>
      <c r="F22" s="3"/>
      <c r="G22" s="3"/>
      <c r="H22" s="3"/>
      <c r="I22" s="3"/>
      <c r="J22" s="3"/>
      <c r="K22" s="3"/>
      <c r="L22" s="3"/>
      <c r="M22" s="3"/>
      <c r="N22" s="3"/>
      <c r="O22" s="3"/>
      <c r="P22" s="3"/>
      <c r="Q22" s="3"/>
      <c r="R22" s="3"/>
      <c r="S22" s="3"/>
      <c r="T22" s="3"/>
      <c r="U22" s="3"/>
      <c r="V22" s="3"/>
      <c r="W22" s="3"/>
      <c r="X22" s="3"/>
      <c r="Y22" s="3"/>
      <c r="Z22" s="3"/>
      <c r="AP22" s="3">
        <v>5071</v>
      </c>
      <c r="AQ22" s="3">
        <v>1697</v>
      </c>
      <c r="AR22" s="3">
        <v>0</v>
      </c>
      <c r="AS22" s="3"/>
      <c r="AT22" s="3"/>
      <c r="AU22" s="3"/>
      <c r="AV22" s="3"/>
      <c r="AW22" s="3"/>
      <c r="AX22" s="3"/>
      <c r="AY22" s="3"/>
      <c r="AZ22" s="3"/>
      <c r="BA22" s="3"/>
      <c r="BB22" s="3"/>
    </row>
    <row r="23" spans="1:114" x14ac:dyDescent="0.25">
      <c r="A23" s="1" t="s">
        <v>43</v>
      </c>
      <c r="B23" s="3">
        <f>+SUM(B19:B22)</f>
        <v>13719</v>
      </c>
      <c r="C23" s="3">
        <f t="shared" ref="C23:E23" si="34">+SUM(C19:C22)</f>
        <v>12468</v>
      </c>
      <c r="D23" s="3">
        <f t="shared" si="34"/>
        <v>13754</v>
      </c>
      <c r="E23" s="3">
        <f t="shared" si="34"/>
        <v>15789</v>
      </c>
      <c r="F23" s="3">
        <f>+SUM(F19:F21)</f>
        <v>14200</v>
      </c>
      <c r="G23" s="3">
        <f t="shared" ref="G23:V23" si="35">+SUM(G19:G21)</f>
        <v>13361</v>
      </c>
      <c r="H23" s="3">
        <f t="shared" si="35"/>
        <v>13843</v>
      </c>
      <c r="I23" s="3">
        <f t="shared" si="35"/>
        <v>15167</v>
      </c>
      <c r="J23" s="3">
        <f t="shared" si="35"/>
        <v>14774</v>
      </c>
      <c r="K23" s="3">
        <f t="shared" si="35"/>
        <v>16242</v>
      </c>
      <c r="L23" s="3">
        <f t="shared" si="35"/>
        <v>16466</v>
      </c>
      <c r="M23" s="3">
        <f t="shared" si="35"/>
        <v>20452</v>
      </c>
      <c r="N23" s="3">
        <f t="shared" si="35"/>
        <v>18318</v>
      </c>
      <c r="O23" s="3">
        <f t="shared" si="35"/>
        <v>17128</v>
      </c>
      <c r="P23" s="3">
        <f t="shared" si="35"/>
        <v>20799</v>
      </c>
      <c r="Q23" s="3">
        <f t="shared" si="35"/>
        <v>22546</v>
      </c>
      <c r="R23" s="3">
        <f t="shared" si="35"/>
        <v>21760</v>
      </c>
      <c r="S23" s="3">
        <f t="shared" si="35"/>
        <v>20850</v>
      </c>
      <c r="T23" s="3">
        <f t="shared" si="35"/>
        <v>22121</v>
      </c>
      <c r="U23" s="3">
        <f t="shared" si="35"/>
        <v>25038</v>
      </c>
      <c r="V23" s="3">
        <f t="shared" si="35"/>
        <v>21355</v>
      </c>
      <c r="W23" s="3">
        <f>+SUM(W19:W21)</f>
        <v>21810</v>
      </c>
      <c r="X23" s="3">
        <f t="shared" ref="X23:Y23" si="36">+SUM(X19:X21)</f>
        <v>23273</v>
      </c>
      <c r="Y23" s="3">
        <f t="shared" si="36"/>
        <v>24884</v>
      </c>
      <c r="Z23" s="3"/>
      <c r="AE23" s="19">
        <v>4860.5</v>
      </c>
      <c r="AF23" s="19">
        <v>6542</v>
      </c>
      <c r="AG23" s="19">
        <v>6495</v>
      </c>
      <c r="AH23" s="19">
        <v>8523</v>
      </c>
      <c r="AI23" s="19">
        <v>12975</v>
      </c>
      <c r="AJ23" s="19">
        <v>15029</v>
      </c>
      <c r="AK23" s="19">
        <v>18123</v>
      </c>
      <c r="AL23" s="19">
        <v>23814</v>
      </c>
      <c r="AM23" s="19">
        <v>27465</v>
      </c>
      <c r="AN23" s="19">
        <v>31418</v>
      </c>
      <c r="AO23" s="19">
        <v>39094</v>
      </c>
      <c r="AP23" s="3">
        <f>+SUM(AP19:AP22)</f>
        <v>49746</v>
      </c>
      <c r="AQ23" s="3">
        <f>+SUM(AQ19:AQ22)</f>
        <v>55730</v>
      </c>
      <c r="AR23" s="3">
        <f t="shared" ref="AR23:BB23" si="37">+SUM(AR19:AR22)</f>
        <v>56571</v>
      </c>
      <c r="AS23" s="1">
        <f t="shared" si="37"/>
        <v>67934</v>
      </c>
      <c r="AT23" s="1">
        <f t="shared" si="37"/>
        <v>78791</v>
      </c>
      <c r="AU23" s="1">
        <f t="shared" si="37"/>
        <v>89769</v>
      </c>
      <c r="AV23" s="3">
        <f t="shared" si="37"/>
        <v>91322</v>
      </c>
      <c r="AW23" s="3">
        <f t="shared" si="37"/>
        <v>101580.8039</v>
      </c>
      <c r="AX23" s="3">
        <f t="shared" si="37"/>
        <v>110401.58783600002</v>
      </c>
      <c r="AY23" s="3">
        <f t="shared" si="37"/>
        <v>120398.62508405201</v>
      </c>
      <c r="AZ23" s="3">
        <f t="shared" si="37"/>
        <v>125602.63339280942</v>
      </c>
      <c r="BA23" s="3">
        <f t="shared" si="37"/>
        <v>138756.3348352607</v>
      </c>
      <c r="BB23" s="3">
        <f t="shared" si="37"/>
        <v>154600.66317813119</v>
      </c>
    </row>
    <row r="24" spans="1:114" x14ac:dyDescent="0.25">
      <c r="A24" s="2" t="s">
        <v>44</v>
      </c>
      <c r="B24" s="6">
        <f t="shared" ref="B24:V24" si="38">+B18-B23</f>
        <v>6608</v>
      </c>
      <c r="C24" s="6">
        <f t="shared" si="38"/>
        <v>9180</v>
      </c>
      <c r="D24" s="6">
        <f t="shared" si="38"/>
        <v>9177</v>
      </c>
      <c r="E24" s="6">
        <f t="shared" si="38"/>
        <v>9266</v>
      </c>
      <c r="F24" s="6">
        <f t="shared" si="38"/>
        <v>7977</v>
      </c>
      <c r="G24" s="6">
        <f t="shared" si="38"/>
        <v>6383</v>
      </c>
      <c r="H24" s="6">
        <f t="shared" si="38"/>
        <v>11213</v>
      </c>
      <c r="I24" s="6">
        <f t="shared" si="38"/>
        <v>15651</v>
      </c>
      <c r="J24" s="6">
        <f t="shared" si="38"/>
        <v>16437</v>
      </c>
      <c r="K24" s="6">
        <f t="shared" si="38"/>
        <v>19411</v>
      </c>
      <c r="L24" s="6">
        <f t="shared" si="38"/>
        <v>21031</v>
      </c>
      <c r="M24" s="6">
        <f t="shared" si="38"/>
        <v>21885</v>
      </c>
      <c r="N24" s="6">
        <f t="shared" si="38"/>
        <v>20094</v>
      </c>
      <c r="O24" s="6">
        <f t="shared" si="38"/>
        <v>22453</v>
      </c>
      <c r="P24" s="6">
        <f t="shared" si="38"/>
        <v>17135</v>
      </c>
      <c r="Q24" s="6">
        <f t="shared" si="38"/>
        <v>18160</v>
      </c>
      <c r="R24" s="6">
        <f t="shared" si="38"/>
        <v>17415</v>
      </c>
      <c r="S24" s="6">
        <f t="shared" si="38"/>
        <v>21838</v>
      </c>
      <c r="T24" s="6">
        <f t="shared" si="38"/>
        <v>21343</v>
      </c>
      <c r="U24" s="6">
        <f t="shared" si="38"/>
        <v>23697</v>
      </c>
      <c r="V24" s="6">
        <f t="shared" si="38"/>
        <v>25472</v>
      </c>
      <c r="W24" s="6">
        <f>+W18-W23</f>
        <v>27425</v>
      </c>
      <c r="X24" s="6">
        <f t="shared" ref="X24:Y24" si="39">+X18-X23</f>
        <v>28521</v>
      </c>
      <c r="Y24" s="6">
        <f t="shared" si="39"/>
        <v>31152</v>
      </c>
      <c r="Z24" s="3"/>
      <c r="AE24" s="6">
        <f t="shared" ref="AE24:AO24" si="40">+AE18-AE23</f>
        <v>5084.3999999999996</v>
      </c>
      <c r="AF24" s="6">
        <f t="shared" si="40"/>
        <v>6632</v>
      </c>
      <c r="AG24" s="6">
        <f t="shared" si="40"/>
        <v>8312</v>
      </c>
      <c r="AH24" s="6">
        <f t="shared" si="40"/>
        <v>10381</v>
      </c>
      <c r="AI24" s="6">
        <f t="shared" si="40"/>
        <v>11742</v>
      </c>
      <c r="AJ24" s="6">
        <f t="shared" si="40"/>
        <v>13834</v>
      </c>
      <c r="AK24" s="6">
        <f t="shared" si="40"/>
        <v>15403</v>
      </c>
      <c r="AL24" s="6">
        <f t="shared" si="40"/>
        <v>16496</v>
      </c>
      <c r="AM24" s="6">
        <f t="shared" si="40"/>
        <v>19360</v>
      </c>
      <c r="AN24" s="6">
        <f t="shared" si="40"/>
        <v>23716</v>
      </c>
      <c r="AO24" s="6">
        <f t="shared" si="40"/>
        <v>26178</v>
      </c>
      <c r="AP24" s="6">
        <f t="shared" ref="AP24:BB24" si="41">+AP18-AP23</f>
        <v>27524</v>
      </c>
      <c r="AQ24" s="6">
        <f t="shared" si="41"/>
        <v>31231</v>
      </c>
      <c r="AR24" s="6">
        <f t="shared" si="41"/>
        <v>41224</v>
      </c>
      <c r="AS24" s="6">
        <f t="shared" si="41"/>
        <v>78764</v>
      </c>
      <c r="AT24" s="6">
        <f t="shared" si="41"/>
        <v>77842</v>
      </c>
      <c r="AU24" s="6">
        <f t="shared" si="41"/>
        <v>84293</v>
      </c>
      <c r="AV24" s="6">
        <f t="shared" si="41"/>
        <v>112570</v>
      </c>
      <c r="AW24" s="6">
        <f t="shared" si="41"/>
        <v>127791.69170000002</v>
      </c>
      <c r="AX24" s="6">
        <f t="shared" si="41"/>
        <v>150605.08458400005</v>
      </c>
      <c r="AY24" s="6">
        <f t="shared" si="41"/>
        <v>175886.30382348804</v>
      </c>
      <c r="AZ24" s="6">
        <f t="shared" si="41"/>
        <v>212585.35451623669</v>
      </c>
      <c r="BA24" s="6">
        <f t="shared" si="41"/>
        <v>250222.52355060942</v>
      </c>
      <c r="BB24" s="6">
        <f t="shared" si="41"/>
        <v>297796.62401848822</v>
      </c>
    </row>
    <row r="25" spans="1:114" x14ac:dyDescent="0.25">
      <c r="A25" s="1" t="s">
        <v>45</v>
      </c>
      <c r="B25" s="3">
        <v>1538</v>
      </c>
      <c r="C25" s="3">
        <v>2967</v>
      </c>
      <c r="D25" s="3">
        <v>-549</v>
      </c>
      <c r="E25" s="3">
        <v>1438</v>
      </c>
      <c r="F25" s="3">
        <v>-220</v>
      </c>
      <c r="G25" s="3">
        <v>1894</v>
      </c>
      <c r="H25" s="3">
        <v>2146</v>
      </c>
      <c r="I25" s="3">
        <v>3038</v>
      </c>
      <c r="J25" s="3">
        <v>4846</v>
      </c>
      <c r="K25" s="3">
        <v>2624</v>
      </c>
      <c r="L25" s="3">
        <v>2033</v>
      </c>
      <c r="M25" s="3">
        <v>2517</v>
      </c>
      <c r="N25" s="3">
        <v>-1160</v>
      </c>
      <c r="O25" s="3">
        <v>-439</v>
      </c>
      <c r="P25" s="3">
        <v>-902</v>
      </c>
      <c r="Q25" s="3">
        <v>-1013</v>
      </c>
      <c r="R25" s="3">
        <v>790</v>
      </c>
      <c r="S25" s="3">
        <v>65</v>
      </c>
      <c r="T25" s="3">
        <v>-146</v>
      </c>
      <c r="U25" s="3">
        <v>715</v>
      </c>
      <c r="V25" s="3">
        <v>2843</v>
      </c>
      <c r="W25" s="3">
        <v>126</v>
      </c>
      <c r="X25" s="3">
        <v>3185</v>
      </c>
      <c r="Y25" s="3">
        <v>1271</v>
      </c>
      <c r="Z25" s="3"/>
      <c r="AE25" s="19">
        <v>589.6</v>
      </c>
      <c r="AF25" s="19">
        <v>-779</v>
      </c>
      <c r="AG25" s="19">
        <v>69</v>
      </c>
      <c r="AH25" s="19">
        <v>415</v>
      </c>
      <c r="AI25" s="19">
        <v>584</v>
      </c>
      <c r="AJ25" s="19">
        <v>635</v>
      </c>
      <c r="AK25" s="19">
        <v>496</v>
      </c>
      <c r="AL25" s="19">
        <v>763</v>
      </c>
      <c r="AM25" s="19">
        <v>291</v>
      </c>
      <c r="AN25" s="19">
        <v>434</v>
      </c>
      <c r="AO25" s="19">
        <v>1015</v>
      </c>
      <c r="AP25" s="3">
        <v>7389</v>
      </c>
      <c r="AQ25" s="3">
        <v>5394</v>
      </c>
      <c r="AR25" s="3">
        <v>6858</v>
      </c>
      <c r="AS25" s="3">
        <f t="shared" ref="AS25" si="42">+SUM(J25:M25)</f>
        <v>12020</v>
      </c>
      <c r="AT25" s="3">
        <f>+SUM(N25:Q25)</f>
        <v>-3514</v>
      </c>
      <c r="AU25" s="3">
        <f>+SUM(R25:U25)</f>
        <v>1424</v>
      </c>
      <c r="AV25" s="3">
        <f t="shared" ref="AV25" si="43">+SUM(V25:Y25)</f>
        <v>7425</v>
      </c>
      <c r="AW25" s="3">
        <f t="shared" ref="AW25:BB25" si="44">+AV56*$BE$9</f>
        <v>18413.399999999998</v>
      </c>
      <c r="AX25" s="3">
        <f t="shared" si="44"/>
        <v>35738.703366450005</v>
      </c>
      <c r="AY25" s="3">
        <f t="shared" si="44"/>
        <v>57820.442238578333</v>
      </c>
      <c r="AZ25" s="3">
        <f t="shared" si="44"/>
        <v>85514.691646933192</v>
      </c>
      <c r="BA25" s="3">
        <f t="shared" si="44"/>
        <v>120839.54711726883</v>
      </c>
      <c r="BB25" s="3">
        <f t="shared" si="44"/>
        <v>164810.40249141239</v>
      </c>
    </row>
    <row r="26" spans="1:114" x14ac:dyDescent="0.25">
      <c r="A26" s="1" t="s">
        <v>46</v>
      </c>
      <c r="B26" s="3">
        <f t="shared" ref="B26:V26" si="45">+B24+B25</f>
        <v>8146</v>
      </c>
      <c r="C26" s="3">
        <f t="shared" si="45"/>
        <v>12147</v>
      </c>
      <c r="D26" s="3">
        <f t="shared" si="45"/>
        <v>8628</v>
      </c>
      <c r="E26" s="3">
        <f t="shared" si="45"/>
        <v>10704</v>
      </c>
      <c r="F26" s="3">
        <f t="shared" si="45"/>
        <v>7757</v>
      </c>
      <c r="G26" s="3">
        <f t="shared" si="45"/>
        <v>8277</v>
      </c>
      <c r="H26" s="3">
        <f t="shared" si="45"/>
        <v>13359</v>
      </c>
      <c r="I26" s="3">
        <f t="shared" si="45"/>
        <v>18689</v>
      </c>
      <c r="J26" s="3">
        <f t="shared" si="45"/>
        <v>21283</v>
      </c>
      <c r="K26" s="3">
        <f t="shared" si="45"/>
        <v>22035</v>
      </c>
      <c r="L26" s="3">
        <f t="shared" si="45"/>
        <v>23064</v>
      </c>
      <c r="M26" s="3">
        <f t="shared" si="45"/>
        <v>24402</v>
      </c>
      <c r="N26" s="3">
        <f t="shared" si="45"/>
        <v>18934</v>
      </c>
      <c r="O26" s="3">
        <f>+O24+O25</f>
        <v>22014</v>
      </c>
      <c r="P26" s="3">
        <f t="shared" si="45"/>
        <v>16233</v>
      </c>
      <c r="Q26" s="3">
        <f t="shared" si="45"/>
        <v>17147</v>
      </c>
      <c r="R26" s="3">
        <f t="shared" si="45"/>
        <v>18205</v>
      </c>
      <c r="S26" s="3">
        <f t="shared" si="45"/>
        <v>21903</v>
      </c>
      <c r="T26" s="3">
        <f>+T24+T25</f>
        <v>21197</v>
      </c>
      <c r="U26" s="3">
        <f t="shared" si="45"/>
        <v>24412</v>
      </c>
      <c r="V26" s="3">
        <f t="shared" si="45"/>
        <v>28315</v>
      </c>
      <c r="W26" s="3">
        <f>+W24+W25</f>
        <v>27551</v>
      </c>
      <c r="X26" s="3">
        <f t="shared" ref="X26:Y26" si="46">+X24+X25</f>
        <v>31706</v>
      </c>
      <c r="Y26" s="3">
        <f t="shared" si="46"/>
        <v>32423</v>
      </c>
      <c r="Z26" s="3"/>
      <c r="AE26" s="3">
        <f t="shared" ref="AE26:AO26" si="47">+AE24+AE25</f>
        <v>5674</v>
      </c>
      <c r="AF26" s="3">
        <f t="shared" si="47"/>
        <v>5853</v>
      </c>
      <c r="AG26" s="3">
        <f t="shared" si="47"/>
        <v>8381</v>
      </c>
      <c r="AH26" s="3">
        <f t="shared" si="47"/>
        <v>10796</v>
      </c>
      <c r="AI26" s="3">
        <f t="shared" si="47"/>
        <v>12326</v>
      </c>
      <c r="AJ26" s="3">
        <f t="shared" si="47"/>
        <v>14469</v>
      </c>
      <c r="AK26" s="3">
        <f t="shared" si="47"/>
        <v>15899</v>
      </c>
      <c r="AL26" s="3">
        <f t="shared" si="47"/>
        <v>17259</v>
      </c>
      <c r="AM26" s="3">
        <f t="shared" si="47"/>
        <v>19651</v>
      </c>
      <c r="AN26" s="3">
        <f t="shared" si="47"/>
        <v>24150</v>
      </c>
      <c r="AO26" s="3">
        <f t="shared" si="47"/>
        <v>27193</v>
      </c>
      <c r="AP26" s="3">
        <f t="shared" ref="AP26:BB26" si="48">+AP24+AP25</f>
        <v>34913</v>
      </c>
      <c r="AQ26" s="3">
        <f t="shared" si="48"/>
        <v>36625</v>
      </c>
      <c r="AR26" s="3">
        <f t="shared" si="48"/>
        <v>48082</v>
      </c>
      <c r="AS26" s="3">
        <f t="shared" si="48"/>
        <v>90784</v>
      </c>
      <c r="AT26" s="3">
        <f t="shared" si="48"/>
        <v>74328</v>
      </c>
      <c r="AU26" s="3">
        <f t="shared" si="48"/>
        <v>85717</v>
      </c>
      <c r="AV26" s="3">
        <f t="shared" si="48"/>
        <v>119995</v>
      </c>
      <c r="AW26" s="3">
        <f t="shared" si="48"/>
        <v>146205.09170000002</v>
      </c>
      <c r="AX26" s="3">
        <f t="shared" si="48"/>
        <v>186343.78795045006</v>
      </c>
      <c r="AY26" s="3">
        <f t="shared" si="48"/>
        <v>233706.74606206638</v>
      </c>
      <c r="AZ26" s="3">
        <f t="shared" si="48"/>
        <v>298100.0461631699</v>
      </c>
      <c r="BA26" s="3">
        <f t="shared" si="48"/>
        <v>371062.07066787826</v>
      </c>
      <c r="BB26" s="3">
        <f t="shared" si="48"/>
        <v>462607.02650990058</v>
      </c>
    </row>
    <row r="27" spans="1:114" x14ac:dyDescent="0.25">
      <c r="A27" s="1" t="s">
        <v>47</v>
      </c>
      <c r="B27" s="3">
        <v>1489</v>
      </c>
      <c r="C27" s="3">
        <v>2200</v>
      </c>
      <c r="D27" s="3">
        <v>1560</v>
      </c>
      <c r="E27" s="3">
        <v>33</v>
      </c>
      <c r="F27" s="3">
        <v>921</v>
      </c>
      <c r="G27" s="3">
        <v>1318</v>
      </c>
      <c r="H27" s="3">
        <v>2112</v>
      </c>
      <c r="I27" s="3">
        <v>3462</v>
      </c>
      <c r="J27" s="3">
        <v>3353</v>
      </c>
      <c r="K27" s="3">
        <v>3460</v>
      </c>
      <c r="L27" s="3">
        <v>4128</v>
      </c>
      <c r="M27" s="3">
        <v>3760</v>
      </c>
      <c r="N27" s="3">
        <v>2498</v>
      </c>
      <c r="O27" s="3">
        <v>3012</v>
      </c>
      <c r="P27" s="3">
        <v>2323</v>
      </c>
      <c r="Q27" s="3">
        <v>3523</v>
      </c>
      <c r="R27" s="3">
        <v>3154</v>
      </c>
      <c r="S27" s="3">
        <v>3535</v>
      </c>
      <c r="T27" s="3">
        <v>1508</v>
      </c>
      <c r="U27" s="3">
        <v>3725</v>
      </c>
      <c r="V27" s="3">
        <v>4653</v>
      </c>
      <c r="W27" s="3">
        <v>3932</v>
      </c>
      <c r="X27" s="3">
        <v>5405</v>
      </c>
      <c r="Y27" s="3">
        <v>5707</v>
      </c>
      <c r="Z27" s="3"/>
      <c r="AE27" s="19">
        <v>1470.3</v>
      </c>
      <c r="AF27" s="19">
        <v>1626</v>
      </c>
      <c r="AG27" s="19">
        <v>1861</v>
      </c>
      <c r="AH27" s="19">
        <v>2291</v>
      </c>
      <c r="AI27" s="19">
        <v>2589</v>
      </c>
      <c r="AJ27" s="19">
        <v>2916</v>
      </c>
      <c r="AK27" s="19">
        <v>2739</v>
      </c>
      <c r="AL27" s="19">
        <v>3639</v>
      </c>
      <c r="AM27" s="19">
        <v>3303</v>
      </c>
      <c r="AN27" s="19">
        <v>4672</v>
      </c>
      <c r="AO27" s="19">
        <v>14531</v>
      </c>
      <c r="AP27" s="3">
        <v>4177</v>
      </c>
      <c r="AQ27" s="3">
        <v>5282</v>
      </c>
      <c r="AR27" s="3">
        <v>7813</v>
      </c>
      <c r="AS27" s="3">
        <f t="shared" ref="AS27" si="49">+SUM(J27:M27)</f>
        <v>14701</v>
      </c>
      <c r="AT27" s="3">
        <f>+SUM(N27:Q27)</f>
        <v>11356</v>
      </c>
      <c r="AU27" s="3">
        <f>+SUM(R27:U27)</f>
        <v>11922</v>
      </c>
      <c r="AV27" s="3">
        <f t="shared" ref="AV27" si="50">+SUM(V27:Y27)</f>
        <v>19697</v>
      </c>
      <c r="AW27" s="3">
        <f t="shared" ref="AW27:BB27" si="51">+AW26*0.21</f>
        <v>30703.069257000003</v>
      </c>
      <c r="AX27" s="3">
        <f t="shared" si="51"/>
        <v>39132.19546959451</v>
      </c>
      <c r="AY27" s="3">
        <f t="shared" si="51"/>
        <v>49078.416673033935</v>
      </c>
      <c r="AZ27" s="3">
        <f t="shared" si="51"/>
        <v>62601.009694265675</v>
      </c>
      <c r="BA27" s="3">
        <f t="shared" si="51"/>
        <v>77923.034840254433</v>
      </c>
      <c r="BB27" s="3">
        <f t="shared" si="51"/>
        <v>97147.47556707912</v>
      </c>
    </row>
    <row r="28" spans="1:114" x14ac:dyDescent="0.25">
      <c r="A28" s="2" t="s">
        <v>48</v>
      </c>
      <c r="B28" s="6">
        <f t="shared" ref="B28:V28" si="52">+B26-B27</f>
        <v>6657</v>
      </c>
      <c r="C28" s="6">
        <f t="shared" si="52"/>
        <v>9947</v>
      </c>
      <c r="D28" s="6">
        <f t="shared" si="52"/>
        <v>7068</v>
      </c>
      <c r="E28" s="6">
        <f t="shared" si="52"/>
        <v>10671</v>
      </c>
      <c r="F28" s="6">
        <f t="shared" si="52"/>
        <v>6836</v>
      </c>
      <c r="G28" s="6">
        <f t="shared" si="52"/>
        <v>6959</v>
      </c>
      <c r="H28" s="6">
        <f t="shared" si="52"/>
        <v>11247</v>
      </c>
      <c r="I28" s="6">
        <f t="shared" si="52"/>
        <v>15227</v>
      </c>
      <c r="J28" s="6">
        <f t="shared" si="52"/>
        <v>17930</v>
      </c>
      <c r="K28" s="6">
        <f t="shared" si="52"/>
        <v>18575</v>
      </c>
      <c r="L28" s="6">
        <f t="shared" si="52"/>
        <v>18936</v>
      </c>
      <c r="M28" s="6">
        <f t="shared" si="52"/>
        <v>20642</v>
      </c>
      <c r="N28" s="6">
        <f t="shared" si="52"/>
        <v>16436</v>
      </c>
      <c r="O28" s="6">
        <f t="shared" si="52"/>
        <v>19002</v>
      </c>
      <c r="P28" s="6">
        <f t="shared" si="52"/>
        <v>13910</v>
      </c>
      <c r="Q28" s="6">
        <f t="shared" si="52"/>
        <v>13624</v>
      </c>
      <c r="R28" s="6">
        <f t="shared" si="52"/>
        <v>15051</v>
      </c>
      <c r="S28" s="6">
        <f t="shared" si="52"/>
        <v>18368</v>
      </c>
      <c r="T28" s="6">
        <f t="shared" si="52"/>
        <v>19689</v>
      </c>
      <c r="U28" s="6">
        <f t="shared" si="52"/>
        <v>20687</v>
      </c>
      <c r="V28" s="6">
        <f t="shared" si="52"/>
        <v>23662</v>
      </c>
      <c r="W28" s="6">
        <f>+W26-W27</f>
        <v>23619</v>
      </c>
      <c r="X28" s="6">
        <f t="shared" ref="X28:Y28" si="53">+X26-X27</f>
        <v>26301</v>
      </c>
      <c r="Y28" s="6">
        <f t="shared" si="53"/>
        <v>26716</v>
      </c>
      <c r="Z28" s="3"/>
      <c r="AE28" s="6">
        <f t="shared" ref="AE28:AO28" si="54">+AE26-AE27</f>
        <v>4203.7</v>
      </c>
      <c r="AF28" s="6">
        <f t="shared" si="54"/>
        <v>4227</v>
      </c>
      <c r="AG28" s="6">
        <f t="shared" si="54"/>
        <v>6520</v>
      </c>
      <c r="AH28" s="6">
        <f t="shared" si="54"/>
        <v>8505</v>
      </c>
      <c r="AI28" s="6">
        <f t="shared" si="54"/>
        <v>9737</v>
      </c>
      <c r="AJ28" s="6">
        <f t="shared" si="54"/>
        <v>11553</v>
      </c>
      <c r="AK28" s="6">
        <f t="shared" si="54"/>
        <v>13160</v>
      </c>
      <c r="AL28" s="6">
        <f t="shared" si="54"/>
        <v>13620</v>
      </c>
      <c r="AM28" s="6">
        <f t="shared" si="54"/>
        <v>16348</v>
      </c>
      <c r="AN28" s="6">
        <f t="shared" si="54"/>
        <v>19478</v>
      </c>
      <c r="AO28" s="6">
        <f t="shared" si="54"/>
        <v>12662</v>
      </c>
      <c r="AP28" s="6">
        <f t="shared" ref="AP28:BB28" si="55">+AP26-AP27</f>
        <v>30736</v>
      </c>
      <c r="AQ28" s="6">
        <f t="shared" si="55"/>
        <v>31343</v>
      </c>
      <c r="AR28" s="6">
        <f t="shared" si="55"/>
        <v>40269</v>
      </c>
      <c r="AS28" s="6">
        <f t="shared" si="55"/>
        <v>76083</v>
      </c>
      <c r="AT28" s="6">
        <f t="shared" si="55"/>
        <v>62972</v>
      </c>
      <c r="AU28" s="6">
        <f t="shared" si="55"/>
        <v>73795</v>
      </c>
      <c r="AV28" s="6">
        <f t="shared" si="55"/>
        <v>100298</v>
      </c>
      <c r="AW28" s="6">
        <f t="shared" si="55"/>
        <v>115502.02244300002</v>
      </c>
      <c r="AX28" s="6">
        <f t="shared" si="55"/>
        <v>147211.59248085556</v>
      </c>
      <c r="AY28" s="6">
        <f t="shared" si="55"/>
        <v>184628.32938903244</v>
      </c>
      <c r="AZ28" s="6">
        <f t="shared" si="55"/>
        <v>235499.03646890423</v>
      </c>
      <c r="BA28" s="6">
        <f t="shared" si="55"/>
        <v>293139.0358276238</v>
      </c>
      <c r="BB28" s="6">
        <f t="shared" si="55"/>
        <v>365459.55094282143</v>
      </c>
      <c r="BC28" s="6">
        <f>+BB28*(1+$BE$8)</f>
        <v>372768.74196167785</v>
      </c>
      <c r="BD28" s="6">
        <f t="shared" ref="BD28:DJ28" si="56">+BC28*(1+$BE$8)</f>
        <v>380224.11680091143</v>
      </c>
      <c r="BE28" s="6">
        <f t="shared" si="56"/>
        <v>387828.59913692967</v>
      </c>
      <c r="BF28" s="6">
        <f t="shared" si="56"/>
        <v>395585.17111966829</v>
      </c>
      <c r="BG28" s="6">
        <f t="shared" si="56"/>
        <v>403496.87454206165</v>
      </c>
      <c r="BH28" s="6">
        <f t="shared" si="56"/>
        <v>411566.8120329029</v>
      </c>
      <c r="BI28" s="6">
        <f t="shared" si="56"/>
        <v>419798.14827356098</v>
      </c>
      <c r="BJ28" s="6">
        <f t="shared" si="56"/>
        <v>428194.11123903218</v>
      </c>
      <c r="BK28" s="6">
        <f t="shared" si="56"/>
        <v>436757.9934638128</v>
      </c>
      <c r="BL28" s="6">
        <f t="shared" si="56"/>
        <v>445493.15333308908</v>
      </c>
      <c r="BM28" s="6">
        <f t="shared" si="56"/>
        <v>454403.01639975089</v>
      </c>
      <c r="BN28" s="6">
        <f t="shared" si="56"/>
        <v>463491.07672774594</v>
      </c>
      <c r="BO28" s="6">
        <f t="shared" si="56"/>
        <v>472760.89826230088</v>
      </c>
      <c r="BP28" s="6">
        <f t="shared" si="56"/>
        <v>482216.11622754688</v>
      </c>
      <c r="BQ28" s="6">
        <f t="shared" si="56"/>
        <v>491860.43855209782</v>
      </c>
      <c r="BR28" s="6">
        <f t="shared" si="56"/>
        <v>501697.64732313977</v>
      </c>
      <c r="BS28" s="6">
        <f t="shared" si="56"/>
        <v>511731.60026960255</v>
      </c>
      <c r="BT28" s="6">
        <f t="shared" si="56"/>
        <v>521966.2322749946</v>
      </c>
      <c r="BU28" s="6">
        <f t="shared" si="56"/>
        <v>532405.55692049454</v>
      </c>
      <c r="BV28" s="6">
        <f t="shared" si="56"/>
        <v>543053.66805890447</v>
      </c>
      <c r="BW28" s="6">
        <f t="shared" si="56"/>
        <v>553914.74142008252</v>
      </c>
      <c r="BX28" s="6">
        <f t="shared" si="56"/>
        <v>564993.03624848416</v>
      </c>
      <c r="BY28" s="6">
        <f t="shared" si="56"/>
        <v>576292.89697345381</v>
      </c>
      <c r="BZ28" s="6">
        <f t="shared" si="56"/>
        <v>587818.75491292286</v>
      </c>
      <c r="CA28" s="6">
        <f t="shared" si="56"/>
        <v>599575.13001118135</v>
      </c>
      <c r="CB28" s="6">
        <f t="shared" si="56"/>
        <v>611566.63261140499</v>
      </c>
      <c r="CC28" s="6">
        <f t="shared" si="56"/>
        <v>623797.96526363306</v>
      </c>
      <c r="CD28" s="6">
        <f t="shared" si="56"/>
        <v>636273.92456890573</v>
      </c>
      <c r="CE28" s="6">
        <f t="shared" si="56"/>
        <v>648999.40306028386</v>
      </c>
      <c r="CF28" s="6">
        <f t="shared" si="56"/>
        <v>661979.39112148958</v>
      </c>
      <c r="CG28" s="6">
        <f t="shared" si="56"/>
        <v>675218.97894391941</v>
      </c>
      <c r="CH28" s="6">
        <f t="shared" si="56"/>
        <v>688723.35852279782</v>
      </c>
      <c r="CI28" s="6">
        <f t="shared" si="56"/>
        <v>702497.82569325378</v>
      </c>
      <c r="CJ28" s="6">
        <f t="shared" si="56"/>
        <v>716547.78220711881</v>
      </c>
      <c r="CK28" s="6">
        <f t="shared" si="56"/>
        <v>730878.73785126116</v>
      </c>
      <c r="CL28" s="6">
        <f t="shared" si="56"/>
        <v>745496.31260828639</v>
      </c>
      <c r="CM28" s="6">
        <f t="shared" si="56"/>
        <v>760406.23886045208</v>
      </c>
      <c r="CN28" s="6">
        <f t="shared" si="56"/>
        <v>775614.3636376611</v>
      </c>
      <c r="CO28" s="6">
        <f t="shared" si="56"/>
        <v>791126.65091041429</v>
      </c>
      <c r="CP28" s="6">
        <f t="shared" si="56"/>
        <v>806949.18392862263</v>
      </c>
      <c r="CQ28" s="6">
        <f t="shared" si="56"/>
        <v>823088.16760719509</v>
      </c>
      <c r="CR28" s="6">
        <f t="shared" si="56"/>
        <v>839549.93095933902</v>
      </c>
      <c r="CS28" s="6">
        <f t="shared" si="56"/>
        <v>856340.92957852583</v>
      </c>
      <c r="CT28" s="6">
        <f t="shared" si="56"/>
        <v>873467.74817009631</v>
      </c>
      <c r="CU28" s="6">
        <f t="shared" si="56"/>
        <v>890937.10313349823</v>
      </c>
      <c r="CV28" s="6">
        <f t="shared" si="56"/>
        <v>908755.84519616817</v>
      </c>
      <c r="CW28" s="6">
        <f t="shared" si="56"/>
        <v>926930.96210009151</v>
      </c>
      <c r="CX28" s="6">
        <f t="shared" si="56"/>
        <v>945469.5813420933</v>
      </c>
      <c r="CY28" s="6">
        <f t="shared" si="56"/>
        <v>964378.97296893515</v>
      </c>
      <c r="CZ28" s="6">
        <f t="shared" si="56"/>
        <v>983666.55242831388</v>
      </c>
      <c r="DA28" s="6">
        <f t="shared" si="56"/>
        <v>1003339.8834768801</v>
      </c>
      <c r="DB28" s="6">
        <f t="shared" si="56"/>
        <v>1023406.6811464177</v>
      </c>
      <c r="DC28" s="6">
        <f t="shared" si="56"/>
        <v>1043874.8147693462</v>
      </c>
      <c r="DD28" s="6">
        <f t="shared" si="56"/>
        <v>1064752.3110647332</v>
      </c>
      <c r="DE28" s="6">
        <f t="shared" si="56"/>
        <v>1086047.3572860279</v>
      </c>
      <c r="DF28" s="6">
        <f t="shared" si="56"/>
        <v>1107768.3044317483</v>
      </c>
      <c r="DG28" s="6">
        <f t="shared" si="56"/>
        <v>1129923.6705203834</v>
      </c>
      <c r="DH28" s="6">
        <f t="shared" si="56"/>
        <v>1152522.1439307912</v>
      </c>
      <c r="DI28" s="6">
        <f t="shared" si="56"/>
        <v>1175572.586809407</v>
      </c>
      <c r="DJ28" s="6">
        <f t="shared" si="56"/>
        <v>1199084.0385455952</v>
      </c>
    </row>
    <row r="29" spans="1:114" x14ac:dyDescent="0.25">
      <c r="A29" s="1" t="s">
        <v>49</v>
      </c>
      <c r="AP29" s="3">
        <v>13911.1</v>
      </c>
      <c r="AQ29" s="3">
        <v>13766.7</v>
      </c>
      <c r="AR29" s="3">
        <v>13504.4</v>
      </c>
      <c r="AS29" s="3">
        <v>13242.4</v>
      </c>
      <c r="AT29" s="3">
        <v>12849</v>
      </c>
      <c r="AU29" s="3">
        <v>12722</v>
      </c>
      <c r="AV29" s="3">
        <v>12447</v>
      </c>
      <c r="AW29" s="3">
        <f>+AV29*0.98</f>
        <v>12198.06</v>
      </c>
      <c r="AX29" s="3">
        <f t="shared" ref="AX29:BB29" si="57">+AW29*0.98</f>
        <v>11954.0988</v>
      </c>
      <c r="AY29" s="3">
        <f t="shared" si="57"/>
        <v>11715.016824</v>
      </c>
      <c r="AZ29" s="3">
        <f t="shared" si="57"/>
        <v>11480.71648752</v>
      </c>
      <c r="BA29" s="3">
        <f t="shared" si="57"/>
        <v>11251.102157769599</v>
      </c>
      <c r="BB29" s="3">
        <f t="shared" si="57"/>
        <v>11026.080114614208</v>
      </c>
    </row>
    <row r="30" spans="1:114" x14ac:dyDescent="0.25">
      <c r="A30" s="1" t="s">
        <v>50</v>
      </c>
      <c r="AP30" s="5">
        <f>+AP28/AP29</f>
        <v>2.2094586337529023</v>
      </c>
      <c r="AQ30" s="5">
        <f t="shared" ref="AQ30:AW30" si="58">+AQ28/AQ29</f>
        <v>2.2767257222137474</v>
      </c>
      <c r="AR30" s="5">
        <f t="shared" si="58"/>
        <v>2.9819170048280563</v>
      </c>
      <c r="AS30" s="5">
        <f t="shared" si="58"/>
        <v>5.7454086872470249</v>
      </c>
      <c r="AT30" s="5">
        <f t="shared" si="58"/>
        <v>4.900926142112227</v>
      </c>
      <c r="AU30" s="5">
        <f t="shared" si="58"/>
        <v>5.800581669548813</v>
      </c>
      <c r="AV30" s="5">
        <f t="shared" si="58"/>
        <v>8.0580059452076807</v>
      </c>
      <c r="AW30" s="5">
        <f t="shared" si="58"/>
        <v>9.4688845966489783</v>
      </c>
      <c r="AX30" s="5">
        <f t="shared" ref="AX30:BB30" si="59">+AX28/AX29</f>
        <v>12.314737810336281</v>
      </c>
      <c r="AY30" s="5">
        <f t="shared" si="59"/>
        <v>15.759971339588102</v>
      </c>
      <c r="AZ30" s="5">
        <f t="shared" si="59"/>
        <v>20.512573124238472</v>
      </c>
      <c r="BA30" s="5">
        <f t="shared" si="59"/>
        <v>26.054250660695736</v>
      </c>
      <c r="BB30" s="5">
        <f t="shared" si="59"/>
        <v>33.145011386089365</v>
      </c>
    </row>
    <row r="32" spans="1:114" x14ac:dyDescent="0.25">
      <c r="A32" s="1" t="s">
        <v>7</v>
      </c>
      <c r="F32" s="7">
        <f t="shared" ref="F32:O36" si="60">+F7/B7-1</f>
        <v>8.6707765999911368E-2</v>
      </c>
      <c r="G32" s="7">
        <f t="shared" si="60"/>
        <v>-9.8257338634633262E-2</v>
      </c>
      <c r="H32" s="7">
        <f t="shared" si="60"/>
        <v>6.4548724788812128E-2</v>
      </c>
      <c r="I32" s="7">
        <f t="shared" si="60"/>
        <v>0.17355159095089201</v>
      </c>
      <c r="J32" s="7">
        <f t="shared" si="60"/>
        <v>0.30107746306423966</v>
      </c>
      <c r="K32" s="7">
        <f t="shared" si="60"/>
        <v>0.68136404146535945</v>
      </c>
      <c r="L32" s="7">
        <f t="shared" si="60"/>
        <v>0.43997266307236682</v>
      </c>
      <c r="M32" s="7">
        <f t="shared" si="60"/>
        <v>0.35727047613077145</v>
      </c>
      <c r="N32" s="7">
        <f t="shared" si="60"/>
        <v>0.24276169265033398</v>
      </c>
      <c r="O32" s="7">
        <f t="shared" si="60"/>
        <v>0.13513739712651684</v>
      </c>
      <c r="P32" s="7">
        <f t="shared" ref="P32:Y36" si="61">+P7/L7-1</f>
        <v>4.2530190370722032E-2</v>
      </c>
      <c r="Q32" s="7">
        <f t="shared" si="61"/>
        <v>-1.6096625943973542E-2</v>
      </c>
      <c r="R32" s="7">
        <f t="shared" si="61"/>
        <v>1.8703619566863505E-2</v>
      </c>
      <c r="S32" s="7">
        <f t="shared" si="61"/>
        <v>4.7654157143208309E-2</v>
      </c>
      <c r="T32" s="7">
        <f t="shared" si="61"/>
        <v>0.11348289031083225</v>
      </c>
      <c r="U32" s="7">
        <f t="shared" si="61"/>
        <v>0.12712421368885551</v>
      </c>
      <c r="V32" s="7">
        <f t="shared" si="61"/>
        <v>0.14363586808394668</v>
      </c>
      <c r="W32" s="7">
        <f t="shared" si="61"/>
        <v>0.13796096462419061</v>
      </c>
      <c r="X32" s="7">
        <f t="shared" si="61"/>
        <v>0.12172352700676869</v>
      </c>
      <c r="Y32" s="7">
        <f t="shared" si="61"/>
        <v>0.12523948354852155</v>
      </c>
      <c r="AP32" s="7"/>
      <c r="AQ32" s="7">
        <f t="shared" ref="AQ32:AR32" si="62">+AQ7/AP7-1</f>
        <v>0.15028840742824978</v>
      </c>
      <c r="AR32" s="7">
        <f t="shared" si="62"/>
        <v>6.0612546501554343E-2</v>
      </c>
      <c r="AS32" s="7">
        <f t="shared" ref="AS32" si="63">+AS7/AR7-1</f>
        <v>0.43136783840402826</v>
      </c>
      <c r="AT32" s="7">
        <f t="shared" ref="AT32" si="64">+AT7/AS7-1</f>
        <v>9.0627118985438182E-2</v>
      </c>
      <c r="AU32" s="7">
        <f>+AU7/AT7-1</f>
        <v>7.7457679285934056E-2</v>
      </c>
      <c r="AV32" s="7">
        <f t="shared" ref="AV32:BB32" si="65">+AV7/AU7-1</f>
        <v>0.13169516605440124</v>
      </c>
      <c r="AW32" s="7">
        <f t="shared" si="65"/>
        <v>0.10000000000000009</v>
      </c>
      <c r="AX32" s="7">
        <f t="shared" si="65"/>
        <v>0.10000000000000009</v>
      </c>
      <c r="AY32" s="7">
        <f t="shared" si="65"/>
        <v>0.10000000000000009</v>
      </c>
      <c r="AZ32" s="7">
        <f t="shared" si="65"/>
        <v>0.10000000000000009</v>
      </c>
      <c r="BA32" s="7">
        <f t="shared" si="65"/>
        <v>0.10000000000000009</v>
      </c>
      <c r="BB32" s="7">
        <f t="shared" si="65"/>
        <v>0.10000000000000009</v>
      </c>
    </row>
    <row r="33" spans="1:54" x14ac:dyDescent="0.25">
      <c r="A33" s="1" t="s">
        <v>8</v>
      </c>
      <c r="F33" s="7">
        <f t="shared" si="60"/>
        <v>0.3348760330578513</v>
      </c>
      <c r="G33" s="7">
        <f t="shared" si="60"/>
        <v>5.8007216208714851E-2</v>
      </c>
      <c r="H33" s="7">
        <f t="shared" si="60"/>
        <v>0.32413249211356465</v>
      </c>
      <c r="I33" s="7">
        <f t="shared" si="60"/>
        <v>0.45961416154335377</v>
      </c>
      <c r="J33" s="7">
        <f t="shared" si="60"/>
        <v>0.48712233779098568</v>
      </c>
      <c r="K33" s="7">
        <f t="shared" si="60"/>
        <v>0.83683105981112282</v>
      </c>
      <c r="L33" s="7">
        <f t="shared" si="60"/>
        <v>0.4304149295215407</v>
      </c>
      <c r="M33" s="7">
        <f t="shared" si="60"/>
        <v>0.25388525780682647</v>
      </c>
      <c r="N33" s="7">
        <f t="shared" si="60"/>
        <v>0.143880099916736</v>
      </c>
      <c r="O33" s="7">
        <f t="shared" si="60"/>
        <v>4.8271922307911996E-2</v>
      </c>
      <c r="P33" s="7">
        <f t="shared" si="61"/>
        <v>-1.8598195697432374E-2</v>
      </c>
      <c r="Q33" s="7">
        <f t="shared" si="61"/>
        <v>-7.7609174099386058E-2</v>
      </c>
      <c r="R33" s="7">
        <f t="shared" si="61"/>
        <v>-2.5622361333527466E-2</v>
      </c>
      <c r="S33" s="7">
        <f t="shared" si="61"/>
        <v>4.4277929155313256E-2</v>
      </c>
      <c r="T33" s="7">
        <f t="shared" si="61"/>
        <v>0.12459340970159816</v>
      </c>
      <c r="U33" s="7">
        <f t="shared" si="61"/>
        <v>0.15534346351877426</v>
      </c>
      <c r="V33" s="7">
        <f t="shared" si="61"/>
        <v>0.20872553414014638</v>
      </c>
      <c r="W33" s="7">
        <f t="shared" si="61"/>
        <v>0.13020221787345077</v>
      </c>
      <c r="X33" s="7">
        <f t="shared" si="61"/>
        <v>0.12185613682092544</v>
      </c>
      <c r="Y33" s="7">
        <f t="shared" si="61"/>
        <v>0.1383695652173913</v>
      </c>
      <c r="AP33" s="7"/>
      <c r="AQ33" s="7">
        <f t="shared" ref="AQ33:AR33" si="66">+AQ8/AP8-1</f>
        <v>0.35804571940833707</v>
      </c>
      <c r="AR33" s="7">
        <f t="shared" si="66"/>
        <v>0.30516865799722748</v>
      </c>
      <c r="AS33" s="7">
        <f t="shared" ref="AS33" si="67">+AS8/AR8-1</f>
        <v>0.45888124620675708</v>
      </c>
      <c r="AT33" s="7">
        <f>+AT8/AS8-1</f>
        <v>1.3797885248743258E-2</v>
      </c>
      <c r="AU33" s="7">
        <f>+AU8/AT8-1</f>
        <v>7.7522825975447018E-2</v>
      </c>
      <c r="AV33" s="7">
        <f t="shared" ref="AV33:BB33" si="68">+AV8/AU8-1</f>
        <v>0.14715963186290071</v>
      </c>
      <c r="AW33" s="7">
        <f t="shared" si="68"/>
        <v>0.1399999999999999</v>
      </c>
      <c r="AX33" s="7">
        <f t="shared" si="68"/>
        <v>0.1100000000000001</v>
      </c>
      <c r="AY33" s="7">
        <f t="shared" si="68"/>
        <v>0.10000000000000009</v>
      </c>
      <c r="AZ33" s="7">
        <f t="shared" si="68"/>
        <v>0.10000000000000009</v>
      </c>
      <c r="BA33" s="7">
        <f t="shared" si="68"/>
        <v>0.10000000000000009</v>
      </c>
      <c r="BB33" s="7">
        <f t="shared" si="68"/>
        <v>0.10000000000000009</v>
      </c>
    </row>
    <row r="34" spans="1:54" x14ac:dyDescent="0.25">
      <c r="A34" s="1" t="s">
        <v>9</v>
      </c>
      <c r="F34" s="7">
        <f t="shared" si="60"/>
        <v>4.1475573280159495E-2</v>
      </c>
      <c r="G34" s="7">
        <f t="shared" si="60"/>
        <v>-9.7732901505048542E-2</v>
      </c>
      <c r="H34" s="7">
        <f t="shared" si="60"/>
        <v>8.9316320700818963E-2</v>
      </c>
      <c r="I34" s="7">
        <f t="shared" si="60"/>
        <v>0.22861405835543769</v>
      </c>
      <c r="J34" s="7">
        <f t="shared" si="60"/>
        <v>0.30193375454719518</v>
      </c>
      <c r="K34" s="7">
        <f t="shared" si="60"/>
        <v>0.60409628378378377</v>
      </c>
      <c r="L34" s="7">
        <f t="shared" si="60"/>
        <v>0.3984265734265735</v>
      </c>
      <c r="M34" s="7">
        <f t="shared" si="60"/>
        <v>0.25556605046552416</v>
      </c>
      <c r="N34" s="7">
        <f t="shared" si="60"/>
        <v>0.20205882352941185</v>
      </c>
      <c r="O34" s="7">
        <f t="shared" si="60"/>
        <v>8.7139660392260065E-2</v>
      </c>
      <c r="P34" s="7">
        <f t="shared" si="61"/>
        <v>-1.587698462307785E-2</v>
      </c>
      <c r="Q34" s="7">
        <f t="shared" si="61"/>
        <v>-8.9199355185384244E-2</v>
      </c>
      <c r="R34" s="7">
        <f t="shared" si="61"/>
        <v>-8.294592610716911E-2</v>
      </c>
      <c r="S34" s="7">
        <f t="shared" si="61"/>
        <v>-4.9521733866085493E-2</v>
      </c>
      <c r="T34" s="7">
        <f t="shared" si="61"/>
        <v>-2.5787601626016232E-2</v>
      </c>
      <c r="U34" s="7">
        <f t="shared" si="61"/>
        <v>-2.1002949852507391E-2</v>
      </c>
      <c r="V34" s="7">
        <f t="shared" si="61"/>
        <v>-1.1072572038420492E-2</v>
      </c>
      <c r="W34" s="7">
        <f t="shared" si="61"/>
        <v>-5.1719745222929991E-2</v>
      </c>
      <c r="X34" s="7">
        <f t="shared" si="61"/>
        <v>-1.5777806754466051E-2</v>
      </c>
      <c r="Y34" s="7">
        <f t="shared" si="61"/>
        <v>-4.1340243461492121E-2</v>
      </c>
      <c r="AP34" s="7"/>
      <c r="AQ34" s="7">
        <f t="shared" ref="AQ34:AR34" si="69">+AQ9/AP9-1</f>
        <v>7.6811594202898625E-2</v>
      </c>
      <c r="AR34" s="7">
        <f t="shared" si="69"/>
        <v>7.161089710864621E-2</v>
      </c>
      <c r="AS34" s="7">
        <f t="shared" ref="AS34" si="70">+AS9/AR9-1</f>
        <v>0.37293200519705505</v>
      </c>
      <c r="AT34" s="7">
        <f>+AT9/AS9-1</f>
        <v>3.4036781174095365E-2</v>
      </c>
      <c r="AU34" s="7">
        <f>+AU9/AT9-1</f>
        <v>-4.4783404514948111E-2</v>
      </c>
      <c r="AV34" s="7">
        <f t="shared" ref="AV34:BB34" si="71">+AV9/AU9-1</f>
        <v>-3.0435615738375055E-2</v>
      </c>
      <c r="AW34" s="7">
        <f t="shared" si="71"/>
        <v>3.0000000000000027E-2</v>
      </c>
      <c r="AX34" s="7">
        <f t="shared" si="71"/>
        <v>3.0000000000000027E-2</v>
      </c>
      <c r="AY34" s="7">
        <f t="shared" si="71"/>
        <v>2.9999999999999805E-2</v>
      </c>
      <c r="AZ34" s="7">
        <f t="shared" si="71"/>
        <v>3.0000000000000027E-2</v>
      </c>
      <c r="BA34" s="7">
        <f t="shared" si="71"/>
        <v>3.0000000000000027E-2</v>
      </c>
      <c r="BB34" s="7">
        <f t="shared" si="71"/>
        <v>3.0000000000000027E-2</v>
      </c>
    </row>
    <row r="35" spans="1:54" x14ac:dyDescent="0.25">
      <c r="A35" s="1" t="s">
        <v>10</v>
      </c>
      <c r="F35" s="7">
        <f t="shared" si="60"/>
        <v>0.22513812154696122</v>
      </c>
      <c r="G35" s="7">
        <f t="shared" si="60"/>
        <v>0.25588235294117645</v>
      </c>
      <c r="H35" s="7">
        <f t="shared" si="60"/>
        <v>0.35259259259259257</v>
      </c>
      <c r="I35" s="7">
        <f t="shared" si="60"/>
        <v>0.26785714285714279</v>
      </c>
      <c r="J35" s="7">
        <f t="shared" si="60"/>
        <v>0.46426155580608786</v>
      </c>
      <c r="K35" s="7">
        <f t="shared" si="60"/>
        <v>0.29254488680718183</v>
      </c>
      <c r="L35" s="7">
        <f t="shared" si="60"/>
        <v>0.23293172690763053</v>
      </c>
      <c r="M35" s="7">
        <f t="shared" si="60"/>
        <v>0.22280491459394658</v>
      </c>
      <c r="N35" s="7">
        <f t="shared" si="60"/>
        <v>4.8814290113951442E-2</v>
      </c>
      <c r="O35" s="7">
        <f t="shared" si="60"/>
        <v>-1.0569228446323464E-2</v>
      </c>
      <c r="P35" s="7">
        <f t="shared" si="61"/>
        <v>2.0876517619188739E-2</v>
      </c>
      <c r="Q35" s="7">
        <f t="shared" si="61"/>
        <v>7.7809092023036319E-2</v>
      </c>
      <c r="R35" s="7">
        <f t="shared" si="61"/>
        <v>8.8386433710174739E-2</v>
      </c>
      <c r="S35" s="7">
        <f t="shared" si="61"/>
        <v>0.24248435830917137</v>
      </c>
      <c r="T35" s="7">
        <f t="shared" si="61"/>
        <v>0.20942712110224804</v>
      </c>
      <c r="U35" s="7">
        <f t="shared" si="61"/>
        <v>0.22714870395634379</v>
      </c>
      <c r="V35" s="7">
        <f t="shared" si="61"/>
        <v>0.17887494941319293</v>
      </c>
      <c r="W35" s="7">
        <f t="shared" si="61"/>
        <v>0.14369933677229185</v>
      </c>
      <c r="X35" s="7">
        <f t="shared" si="61"/>
        <v>0.2778510612783307</v>
      </c>
      <c r="Y35" s="7">
        <f t="shared" si="61"/>
        <v>7.772836761163604E-2</v>
      </c>
      <c r="AP35" s="7"/>
      <c r="AQ35" s="7">
        <f t="shared" ref="AQ35:AR35" si="72">+AQ10/AP10-1</f>
        <v>0.20984142786034266</v>
      </c>
      <c r="AR35" s="7">
        <f t="shared" si="72"/>
        <v>0.27606676854355228</v>
      </c>
      <c r="AS35" s="7">
        <f t="shared" ref="AS35" si="73">+AS10/AR10-1</f>
        <v>0.29114273870388274</v>
      </c>
      <c r="AT35" s="7">
        <f>+AT10/AS10-1</f>
        <v>3.6494006849315141E-2</v>
      </c>
      <c r="AU35" s="7">
        <f>+AU10/AT10-1</f>
        <v>0.19387368783341929</v>
      </c>
      <c r="AV35" s="7">
        <f t="shared" ref="AV35:BB35" si="74">+AV10/AU10-1</f>
        <v>0.16293819188191883</v>
      </c>
      <c r="AW35" s="7">
        <f t="shared" si="74"/>
        <v>0.1399999999999999</v>
      </c>
      <c r="AX35" s="7">
        <f t="shared" si="74"/>
        <v>0.12000000000000011</v>
      </c>
      <c r="AY35" s="7">
        <f t="shared" si="74"/>
        <v>0.12000000000000011</v>
      </c>
      <c r="AZ35" s="7">
        <f t="shared" si="74"/>
        <v>0.12000000000000011</v>
      </c>
      <c r="BA35" s="7">
        <f t="shared" si="74"/>
        <v>0.12000000000000011</v>
      </c>
      <c r="BB35" s="7">
        <f t="shared" si="74"/>
        <v>0.12000000000000011</v>
      </c>
    </row>
    <row r="36" spans="1:54" x14ac:dyDescent="0.25">
      <c r="A36" s="1" t="s">
        <v>11</v>
      </c>
      <c r="F36" s="7">
        <f t="shared" si="60"/>
        <v>0.52164383561643834</v>
      </c>
      <c r="G36" s="7">
        <f t="shared" si="60"/>
        <v>0.43190476190476201</v>
      </c>
      <c r="H36" s="7">
        <f t="shared" si="60"/>
        <v>0.44766708701134927</v>
      </c>
      <c r="I36" s="7">
        <f t="shared" si="60"/>
        <v>0.46557000765110934</v>
      </c>
      <c r="J36" s="7">
        <f t="shared" si="60"/>
        <v>0.4573280518545193</v>
      </c>
      <c r="K36" s="7">
        <f t="shared" si="60"/>
        <v>0.53907549052211512</v>
      </c>
      <c r="L36" s="7">
        <f t="shared" si="60"/>
        <v>0.44889663182346107</v>
      </c>
      <c r="M36" s="7">
        <f t="shared" si="60"/>
        <v>0.44635865309318712</v>
      </c>
      <c r="N36" s="7">
        <f t="shared" si="60"/>
        <v>0.4383493946132937</v>
      </c>
      <c r="O36" s="7">
        <f t="shared" si="60"/>
        <v>0.35609334485738975</v>
      </c>
      <c r="P36" s="7">
        <f t="shared" si="61"/>
        <v>0.37635270541082155</v>
      </c>
      <c r="Q36" s="7">
        <f t="shared" si="61"/>
        <v>0.3201588160981772</v>
      </c>
      <c r="R36" s="7">
        <f t="shared" si="61"/>
        <v>0.28053599037965982</v>
      </c>
      <c r="S36" s="7">
        <f t="shared" si="61"/>
        <v>0.2796367112810707</v>
      </c>
      <c r="T36" s="7">
        <f t="shared" si="61"/>
        <v>0.22466511357018049</v>
      </c>
      <c r="U36" s="7">
        <f t="shared" si="61"/>
        <v>0.25659603554340404</v>
      </c>
      <c r="V36" s="7">
        <f t="shared" si="61"/>
        <v>0.28441105446740012</v>
      </c>
      <c r="W36" s="7">
        <f t="shared" si="61"/>
        <v>0.28838251774374291</v>
      </c>
      <c r="X36" s="7">
        <f t="shared" si="61"/>
        <v>0.34978004993460954</v>
      </c>
      <c r="Y36" s="7">
        <f t="shared" si="61"/>
        <v>0.3005874673629243</v>
      </c>
      <c r="AP36" s="7"/>
      <c r="AQ36" s="7">
        <f t="shared" ref="AQ36:AR36" si="75">+AQ11/AP11-1</f>
        <v>0.52757793764988015</v>
      </c>
      <c r="AR36" s="7">
        <f t="shared" si="75"/>
        <v>0.46434178066831122</v>
      </c>
      <c r="AS36" s="7">
        <f t="shared" ref="AS36" si="76">+AS11/AR11-1</f>
        <v>0.47070985527222597</v>
      </c>
      <c r="AT36" s="7">
        <f>+AT11/AS11-1</f>
        <v>0.36832239925023424</v>
      </c>
      <c r="AU36" s="7">
        <f>+AU11/AT11-1</f>
        <v>0.25905631659056327</v>
      </c>
      <c r="AV36" s="7">
        <f t="shared" ref="AV36:BB36" si="77">+AV11/AU11-1</f>
        <v>0.30648573500967125</v>
      </c>
      <c r="AW36" s="7">
        <f t="shared" si="77"/>
        <v>0.30000000000000004</v>
      </c>
      <c r="AX36" s="7">
        <f t="shared" si="77"/>
        <v>0.30000000000000004</v>
      </c>
      <c r="AY36" s="7">
        <f t="shared" si="77"/>
        <v>0.25</v>
      </c>
      <c r="AZ36" s="7">
        <f t="shared" si="77"/>
        <v>0.25</v>
      </c>
      <c r="BA36" s="7">
        <f t="shared" si="77"/>
        <v>0.25</v>
      </c>
      <c r="BB36" s="7">
        <f t="shared" si="77"/>
        <v>0.25</v>
      </c>
    </row>
    <row r="37" spans="1:54" x14ac:dyDescent="0.25">
      <c r="A37" s="1" t="s">
        <v>12</v>
      </c>
      <c r="F37" s="7">
        <f t="shared" ref="F37:O38" si="78">+F13/B13-1</f>
        <v>-0.20588235294117652</v>
      </c>
      <c r="G37" s="7">
        <f t="shared" si="78"/>
        <v>-8.6419753086419804E-2</v>
      </c>
      <c r="H37" s="7">
        <f t="shared" si="78"/>
        <v>0.14838709677419359</v>
      </c>
      <c r="I37" s="7">
        <f t="shared" si="78"/>
        <v>0.13953488372093026</v>
      </c>
      <c r="J37" s="7">
        <f t="shared" si="78"/>
        <v>0.46666666666666656</v>
      </c>
      <c r="K37" s="7">
        <f t="shared" si="78"/>
        <v>0.29729729729729737</v>
      </c>
      <c r="L37" s="7">
        <f t="shared" si="78"/>
        <v>2.2471910112359605E-2</v>
      </c>
      <c r="M37" s="7">
        <f t="shared" si="78"/>
        <v>-7.6530612244897989E-2</v>
      </c>
      <c r="N37" s="7">
        <f t="shared" si="78"/>
        <v>1.2222222222222223</v>
      </c>
      <c r="O37" s="7">
        <f t="shared" si="78"/>
        <v>5.2083333333332593E-3</v>
      </c>
      <c r="P37" s="7">
        <f t="shared" ref="P37:W38" si="79">+P13/L13-1</f>
        <v>0.14835164835164827</v>
      </c>
      <c r="Q37" s="7">
        <f t="shared" si="79"/>
        <v>0.24861878453038666</v>
      </c>
      <c r="R37" s="7">
        <f t="shared" si="79"/>
        <v>-0.34545454545454546</v>
      </c>
      <c r="S37" s="7">
        <f t="shared" si="79"/>
        <v>0.47668393782383411</v>
      </c>
      <c r="T37" s="7">
        <f t="shared" si="79"/>
        <v>0.42105263157894735</v>
      </c>
      <c r="U37" s="7">
        <f t="shared" si="79"/>
        <v>1.9070796460176993</v>
      </c>
      <c r="V37" s="7">
        <f t="shared" si="79"/>
        <v>0.71875</v>
      </c>
      <c r="W37" s="7">
        <f t="shared" si="79"/>
        <v>0.2807017543859649</v>
      </c>
      <c r="X37" s="7">
        <f t="shared" ref="X37:X38" si="80">+X13/T13-1</f>
        <v>0.30639730639730645</v>
      </c>
      <c r="Y37" s="7">
        <f t="shared" ref="Y37:Y38" si="81">+Y13/U13-1</f>
        <v>-0.39117199391171997</v>
      </c>
      <c r="AP37" s="7"/>
      <c r="AQ37" s="7">
        <f t="shared" ref="AQ37:AR37" si="82">+AQ13/AP13-1</f>
        <v>0.1075630252100841</v>
      </c>
      <c r="AR37" s="7">
        <f t="shared" si="82"/>
        <v>-3.0349013657056112E-3</v>
      </c>
      <c r="AS37" s="7">
        <f t="shared" ref="AS37" si="83">+AS13/AR13-1</f>
        <v>0.14611872146118721</v>
      </c>
      <c r="AT37" s="7">
        <f t="shared" ref="AT37:AT38" si="84">+AT13/AS13-1</f>
        <v>0.41832669322709171</v>
      </c>
      <c r="AU37" s="7">
        <f t="shared" ref="AU37:AU38" si="85">+AU13/AT13-1</f>
        <v>0.4297752808988764</v>
      </c>
      <c r="AV37" s="7">
        <f t="shared" ref="AV37:BB37" si="86">+AV13/AU13-1</f>
        <v>7.9240340537000575E-2</v>
      </c>
      <c r="AW37" s="7">
        <f t="shared" si="86"/>
        <v>3.0000000000000027E-2</v>
      </c>
      <c r="AX37" s="7">
        <f t="shared" si="86"/>
        <v>3.0000000000000027E-2</v>
      </c>
      <c r="AY37" s="7">
        <f t="shared" si="86"/>
        <v>3.0000000000000027E-2</v>
      </c>
      <c r="AZ37" s="7">
        <f t="shared" si="86"/>
        <v>3.0000000000000027E-2</v>
      </c>
      <c r="BA37" s="7">
        <f t="shared" si="86"/>
        <v>3.0000000000000027E-2</v>
      </c>
      <c r="BB37" s="7">
        <f t="shared" si="86"/>
        <v>3.0000000000000027E-2</v>
      </c>
    </row>
    <row r="38" spans="1:54" x14ac:dyDescent="0.25">
      <c r="A38" s="1" t="s">
        <v>13</v>
      </c>
      <c r="F38" s="7">
        <f t="shared" si="78"/>
        <v>-0.64233576642335766</v>
      </c>
      <c r="G38" s="7">
        <f t="shared" si="78"/>
        <v>0.39814814814814814</v>
      </c>
      <c r="H38" s="7">
        <f t="shared" si="78"/>
        <v>-1.1848739495798319</v>
      </c>
      <c r="I38" s="7">
        <f t="shared" si="78"/>
        <v>-1.0219780219780219</v>
      </c>
      <c r="J38" s="7">
        <f t="shared" si="78"/>
        <v>-3.2244897959183674</v>
      </c>
      <c r="K38" s="7">
        <f t="shared" si="78"/>
        <v>-1.0463576158940397</v>
      </c>
      <c r="L38" s="7">
        <f t="shared" si="78"/>
        <v>-3.8181818181818183</v>
      </c>
      <c r="M38" s="7">
        <f>+M14/I14-1</f>
        <v>-102.5</v>
      </c>
      <c r="N38" s="7">
        <f t="shared" si="78"/>
        <v>-3.5504587155963301</v>
      </c>
      <c r="O38" s="7">
        <f t="shared" si="78"/>
        <v>-54.571428571428569</v>
      </c>
      <c r="P38" s="7">
        <f t="shared" si="79"/>
        <v>9.2903225806451619</v>
      </c>
      <c r="Q38" s="7">
        <f t="shared" si="79"/>
        <v>2.2955665024630543</v>
      </c>
      <c r="R38" s="7">
        <f t="shared" si="79"/>
        <v>-0.69784172661870503</v>
      </c>
      <c r="S38" s="7">
        <f t="shared" si="79"/>
        <v>-0.99199999999999999</v>
      </c>
      <c r="T38" s="7">
        <f t="shared" si="79"/>
        <v>-1.0015673981191222</v>
      </c>
      <c r="U38" s="7">
        <f t="shared" si="79"/>
        <v>-0.77578475336322872</v>
      </c>
      <c r="V38" s="7">
        <f t="shared" si="79"/>
        <v>-0.1428571428571429</v>
      </c>
      <c r="W38" s="7">
        <f t="shared" si="79"/>
        <v>33</v>
      </c>
      <c r="X38" s="7">
        <f t="shared" si="80"/>
        <v>-18</v>
      </c>
      <c r="Y38" s="7">
        <f t="shared" si="81"/>
        <v>0.33333333333333326</v>
      </c>
      <c r="AP38" s="7"/>
      <c r="AQ38" s="7">
        <f t="shared" ref="AQ38:AR38" si="87">+AQ14/AP14-1</f>
        <v>-4.2971014492753623</v>
      </c>
      <c r="AR38" s="7">
        <f t="shared" si="87"/>
        <v>-0.61318681318681323</v>
      </c>
      <c r="AS38" s="7">
        <f t="shared" ref="AS38" si="88">+AS14/AR14-1</f>
        <v>-0.15340909090909094</v>
      </c>
      <c r="AT38" s="7">
        <f t="shared" si="84"/>
        <v>12.154362416107382</v>
      </c>
      <c r="AU38" s="7">
        <f t="shared" si="85"/>
        <v>-0.87959183673469388</v>
      </c>
      <c r="AV38" s="7">
        <f t="shared" ref="AV38:BB38" si="89">+AV14/AU14-1</f>
        <v>-0.10593220338983056</v>
      </c>
      <c r="AW38" s="7">
        <f t="shared" si="89"/>
        <v>3.0000000000000027E-2</v>
      </c>
      <c r="AX38" s="7">
        <f t="shared" si="89"/>
        <v>3.0000000000000027E-2</v>
      </c>
      <c r="AY38" s="7">
        <f t="shared" si="89"/>
        <v>3.0000000000000027E-2</v>
      </c>
      <c r="AZ38" s="7">
        <f t="shared" si="89"/>
        <v>3.0000000000000027E-2</v>
      </c>
      <c r="BA38" s="7">
        <f t="shared" si="89"/>
        <v>3.0000000000000027E-2</v>
      </c>
      <c r="BB38" s="7">
        <f t="shared" si="89"/>
        <v>3.0000000000000027E-2</v>
      </c>
    </row>
    <row r="39" spans="1:54" x14ac:dyDescent="0.25">
      <c r="A39" s="2" t="s">
        <v>51</v>
      </c>
      <c r="B39" s="2"/>
      <c r="C39" s="2"/>
      <c r="D39" s="2"/>
      <c r="E39" s="2"/>
      <c r="F39" s="11">
        <f t="shared" ref="F39:W39" si="90">+F16/B16-1</f>
        <v>0.13263986350752632</v>
      </c>
      <c r="G39" s="11">
        <f t="shared" si="90"/>
        <v>-1.6613599013968749E-2</v>
      </c>
      <c r="H39" s="11">
        <f t="shared" si="90"/>
        <v>0.14010222474628997</v>
      </c>
      <c r="I39" s="11">
        <f t="shared" si="90"/>
        <v>0.23489962018448174</v>
      </c>
      <c r="J39" s="11">
        <f t="shared" si="90"/>
        <v>0.34391020189994892</v>
      </c>
      <c r="K39" s="11">
        <f t="shared" si="90"/>
        <v>0.61579235971486024</v>
      </c>
      <c r="L39" s="11">
        <f t="shared" si="90"/>
        <v>0.41030472353973102</v>
      </c>
      <c r="M39" s="11">
        <f t="shared" si="90"/>
        <v>0.32386024113325607</v>
      </c>
      <c r="N39" s="11">
        <f t="shared" si="90"/>
        <v>0.22954405756228069</v>
      </c>
      <c r="O39" s="11">
        <f t="shared" si="90"/>
        <v>0.12613122171945701</v>
      </c>
      <c r="P39" s="11">
        <f t="shared" si="90"/>
        <v>6.1027672840074931E-2</v>
      </c>
      <c r="Q39" s="11">
        <f t="shared" si="90"/>
        <v>9.5984069034185104E-3</v>
      </c>
      <c r="R39" s="11">
        <f t="shared" si="90"/>
        <v>2.6113422828660138E-2</v>
      </c>
      <c r="S39" s="11">
        <f t="shared" si="90"/>
        <v>7.0589079428858392E-2</v>
      </c>
      <c r="T39" s="11">
        <f t="shared" si="90"/>
        <v>0.11001273664100042</v>
      </c>
      <c r="U39" s="11">
        <f t="shared" si="90"/>
        <v>0.13494108983799702</v>
      </c>
      <c r="V39" s="11">
        <f t="shared" si="90"/>
        <v>0.15406880937710454</v>
      </c>
      <c r="W39" s="11">
        <f t="shared" si="90"/>
        <v>0.13589083695244231</v>
      </c>
      <c r="X39" s="11">
        <f t="shared" ref="X39" si="91">+X16/T16-1</f>
        <v>0.15092642092498654</v>
      </c>
      <c r="Y39" s="11">
        <f t="shared" ref="Y39" si="92">+Y16/U16-1</f>
        <v>0.11978913219789122</v>
      </c>
      <c r="Z39" s="11">
        <f t="shared" ref="Z39" si="93">+Z16/V16-1</f>
        <v>0.10505469399918055</v>
      </c>
      <c r="AA39" s="2"/>
      <c r="AB39" s="2"/>
      <c r="AC39" s="2"/>
      <c r="AD39" s="2"/>
      <c r="AE39" s="2"/>
      <c r="AF39" s="11">
        <f t="shared" ref="AF39" si="94">+AF16/AE16-1</f>
        <v>0.31348680245872007</v>
      </c>
      <c r="AG39" s="11">
        <f t="shared" ref="AG39" si="95">+AG16/AF16-1</f>
        <v>8.5107359148467676E-2</v>
      </c>
      <c r="AH39" s="11">
        <f t="shared" ref="AH39" si="96">+AH16/AG16-1</f>
        <v>0.23973616337575576</v>
      </c>
      <c r="AI39" s="11">
        <f t="shared" ref="AI39" si="97">+AI16/AH16-1</f>
        <v>0.2927594556802291</v>
      </c>
      <c r="AJ39" s="11">
        <f t="shared" ref="AJ39" si="98">+AJ16/AI16-1</f>
        <v>0.21458910433979694</v>
      </c>
      <c r="AK39" s="11">
        <f t="shared" ref="AK39" si="99">+AK16/AJ16-1</f>
        <v>0.2059123786355046</v>
      </c>
      <c r="AL39" s="11">
        <f t="shared" ref="AL39" si="100">+AL16/AK16-1</f>
        <v>0.18880023055170292</v>
      </c>
      <c r="AM39" s="11">
        <f t="shared" ref="AM39" si="101">+AM16/AL16-1</f>
        <v>0.13617975485219924</v>
      </c>
      <c r="AN39" s="11">
        <f t="shared" ref="AN39" si="102">+AN16/AM16-1</f>
        <v>0.20380322447292265</v>
      </c>
      <c r="AO39" s="11">
        <f t="shared" ref="AO39" si="103">+AO16/AN16-1</f>
        <v>0.22801090038993266</v>
      </c>
      <c r="AP39" s="11">
        <f t="shared" ref="AP39" si="104">+AP16/AO16-1</f>
        <v>0.23421586757475987</v>
      </c>
      <c r="AQ39" s="11">
        <f t="shared" ref="AQ39:BB39" si="105">+AQ16/AP16-1</f>
        <v>0.18300089899794614</v>
      </c>
      <c r="AR39" s="11">
        <f t="shared" si="105"/>
        <v>0.12770532012826141</v>
      </c>
      <c r="AS39" s="11">
        <f t="shared" si="105"/>
        <v>0.41150076427049154</v>
      </c>
      <c r="AT39" s="11">
        <f t="shared" si="105"/>
        <v>9.7808156437157789E-2</v>
      </c>
      <c r="AU39" s="11">
        <f t="shared" si="105"/>
        <v>8.6827702272695095E-2</v>
      </c>
      <c r="AV39" s="11">
        <f t="shared" si="105"/>
        <v>0.13866243322901561</v>
      </c>
      <c r="AW39" s="11">
        <f t="shared" si="105"/>
        <v>0.12985566456582243</v>
      </c>
      <c r="AX39" s="11">
        <f t="shared" si="105"/>
        <v>0.12819039389655607</v>
      </c>
      <c r="AY39" s="11">
        <f t="shared" si="105"/>
        <v>0.12554225896103621</v>
      </c>
      <c r="AZ39" s="11">
        <f t="shared" si="105"/>
        <v>0.13183641598224449</v>
      </c>
      <c r="BA39" s="11">
        <f t="shared" si="105"/>
        <v>0.14060044025887541</v>
      </c>
      <c r="BB39" s="11">
        <f t="shared" si="105"/>
        <v>0.1534263545917518</v>
      </c>
    </row>
    <row r="40" spans="1:54" x14ac:dyDescent="0.25">
      <c r="F40" s="7"/>
      <c r="G40" s="7"/>
      <c r="H40" s="7"/>
      <c r="I40" s="7"/>
      <c r="J40" s="7"/>
      <c r="K40" s="7"/>
      <c r="L40" s="7"/>
      <c r="M40" s="7"/>
      <c r="N40" s="7"/>
      <c r="O40" s="7"/>
      <c r="P40" s="7"/>
      <c r="Q40" s="7"/>
      <c r="R40" s="7"/>
      <c r="S40" s="7"/>
      <c r="T40" s="7"/>
      <c r="U40" s="7"/>
      <c r="V40" s="7"/>
      <c r="W40" s="7"/>
    </row>
    <row r="41" spans="1:54" x14ac:dyDescent="0.25">
      <c r="A41" s="1" t="s">
        <v>58</v>
      </c>
      <c r="B41" s="7">
        <f t="shared" ref="B41:W41" si="106">+B18/B16</f>
        <v>0.55937147417375277</v>
      </c>
      <c r="C41" s="7">
        <f t="shared" si="106"/>
        <v>0.55587510271158591</v>
      </c>
      <c r="D41" s="7">
        <f t="shared" si="106"/>
        <v>0.56621151139534309</v>
      </c>
      <c r="E41" s="7">
        <f t="shared" si="106"/>
        <v>0.54378730330982095</v>
      </c>
      <c r="F41" s="7">
        <f t="shared" si="106"/>
        <v>0.53881289632887097</v>
      </c>
      <c r="G41" s="7">
        <f t="shared" si="106"/>
        <v>0.51554952085019712</v>
      </c>
      <c r="H41" s="7">
        <f t="shared" si="106"/>
        <v>0.54265479825872265</v>
      </c>
      <c r="I41" s="7">
        <f t="shared" si="106"/>
        <v>0.54163590987380927</v>
      </c>
      <c r="J41" s="7">
        <f t="shared" si="106"/>
        <v>0.56425136493473627</v>
      </c>
      <c r="K41" s="7">
        <f t="shared" si="106"/>
        <v>0.57616354234001288</v>
      </c>
      <c r="L41" s="7">
        <f t="shared" si="106"/>
        <v>0.57583156730857832</v>
      </c>
      <c r="M41" s="7">
        <f t="shared" si="106"/>
        <v>0.56205774975107869</v>
      </c>
      <c r="N41" s="7">
        <f t="shared" si="106"/>
        <v>0.5647909896928438</v>
      </c>
      <c r="O41" s="7">
        <f t="shared" si="106"/>
        <v>0.56799885197675248</v>
      </c>
      <c r="P41" s="7">
        <f t="shared" si="106"/>
        <v>0.54903606785156023</v>
      </c>
      <c r="Q41" s="7">
        <f t="shared" si="106"/>
        <v>0.53526719966337055</v>
      </c>
      <c r="R41" s="7">
        <f t="shared" si="106"/>
        <v>0.56135096794531936</v>
      </c>
      <c r="S41" s="7">
        <f t="shared" si="106"/>
        <v>0.5721945204010509</v>
      </c>
      <c r="T41" s="7">
        <f t="shared" si="106"/>
        <v>0.56672708069836886</v>
      </c>
      <c r="U41" s="7">
        <f t="shared" si="106"/>
        <v>0.56465067778936395</v>
      </c>
      <c r="V41" s="7">
        <f t="shared" si="106"/>
        <v>0.58142018152696207</v>
      </c>
      <c r="W41" s="7">
        <f t="shared" si="106"/>
        <v>0.58099879634655782</v>
      </c>
      <c r="X41" s="7">
        <f t="shared" ref="X41:Y41" si="107">+X18/X16</f>
        <v>0.58678116644763678</v>
      </c>
      <c r="Y41" s="7">
        <f t="shared" si="107"/>
        <v>0.57978872000744963</v>
      </c>
      <c r="AE41" s="7">
        <f t="shared" ref="AE41:AO41" si="108">+AE18/AE16</f>
        <v>0.59930697842593705</v>
      </c>
      <c r="AF41" s="7">
        <f t="shared" si="108"/>
        <v>0.60442282987704166</v>
      </c>
      <c r="AG41" s="7">
        <f t="shared" si="108"/>
        <v>0.62606232294617559</v>
      </c>
      <c r="AH41" s="7">
        <f t="shared" si="108"/>
        <v>0.64472562327342176</v>
      </c>
      <c r="AI41" s="7">
        <f t="shared" si="108"/>
        <v>0.65207756232686975</v>
      </c>
      <c r="AJ41" s="7">
        <f t="shared" si="108"/>
        <v>0.6269249983709464</v>
      </c>
      <c r="AK41" s="7">
        <f t="shared" si="108"/>
        <v>0.60386534339595455</v>
      </c>
      <c r="AL41" s="7">
        <f t="shared" si="108"/>
        <v>0.6107483219951213</v>
      </c>
      <c r="AM41" s="7">
        <f t="shared" si="108"/>
        <v>0.62442491565429592</v>
      </c>
      <c r="AN41" s="7">
        <f t="shared" si="108"/>
        <v>0.61075416518964909</v>
      </c>
      <c r="AO41" s="7">
        <f t="shared" si="108"/>
        <v>0.58880519597672631</v>
      </c>
      <c r="AP41" s="7">
        <f t="shared" ref="AP41:BB41" si="109">+AP18/AP16</f>
        <v>0.5647607422945643</v>
      </c>
      <c r="AQ41" s="7">
        <f t="shared" si="109"/>
        <v>0.53727055363685228</v>
      </c>
      <c r="AR41" s="7">
        <f t="shared" si="109"/>
        <v>0.53578374706207854</v>
      </c>
      <c r="AS41" s="7">
        <f t="shared" si="109"/>
        <v>0.5693980290098084</v>
      </c>
      <c r="AT41" s="7">
        <f t="shared" si="109"/>
        <v>0.55379442503783116</v>
      </c>
      <c r="AU41" s="7">
        <f t="shared" si="109"/>
        <v>0.56625047984020505</v>
      </c>
      <c r="AV41" s="7">
        <f t="shared" si="109"/>
        <v>0.58251861332845745</v>
      </c>
      <c r="AW41" s="7">
        <f t="shared" si="109"/>
        <v>0.58000000000000007</v>
      </c>
      <c r="AX41" s="7">
        <f t="shared" si="109"/>
        <v>0.58500000000000008</v>
      </c>
      <c r="AY41" s="7">
        <f t="shared" si="109"/>
        <v>0.59000000000000008</v>
      </c>
      <c r="AZ41" s="7">
        <f t="shared" si="109"/>
        <v>0.59499999999999997</v>
      </c>
      <c r="BA41" s="7">
        <f t="shared" si="109"/>
        <v>0.6</v>
      </c>
      <c r="BB41" s="7">
        <f t="shared" si="109"/>
        <v>0.60499999999999998</v>
      </c>
    </row>
    <row r="42" spans="1:54" x14ac:dyDescent="0.25">
      <c r="A42" s="1" t="s">
        <v>59</v>
      </c>
      <c r="B42" s="7">
        <f t="shared" ref="B42:W42" si="110">+B24/B16</f>
        <v>0.18184319876716476</v>
      </c>
      <c r="C42" s="7">
        <f t="shared" si="110"/>
        <v>0.23572308956450289</v>
      </c>
      <c r="D42" s="7">
        <f t="shared" si="110"/>
        <v>0.22659818760957059</v>
      </c>
      <c r="E42" s="7">
        <f t="shared" si="110"/>
        <v>0.20110689093868692</v>
      </c>
      <c r="F42" s="7">
        <f t="shared" si="110"/>
        <v>0.1938093734055735</v>
      </c>
      <c r="G42" s="7">
        <f t="shared" si="110"/>
        <v>0.1666710186176463</v>
      </c>
      <c r="H42" s="7">
        <f t="shared" si="110"/>
        <v>0.24284755159941956</v>
      </c>
      <c r="I42" s="7">
        <f t="shared" si="110"/>
        <v>0.27507118000632713</v>
      </c>
      <c r="J42" s="7">
        <f t="shared" si="110"/>
        <v>0.29715804317171057</v>
      </c>
      <c r="K42" s="7">
        <f t="shared" si="110"/>
        <v>0.31368778280542986</v>
      </c>
      <c r="L42" s="7">
        <f t="shared" si="110"/>
        <v>0.32296753585798088</v>
      </c>
      <c r="M42" s="7">
        <f t="shared" si="110"/>
        <v>0.29054098904746101</v>
      </c>
      <c r="N42" s="7">
        <f t="shared" si="110"/>
        <v>0.29545220626075192</v>
      </c>
      <c r="O42" s="7">
        <f t="shared" si="110"/>
        <v>0.32220707469326254</v>
      </c>
      <c r="P42" s="7">
        <f t="shared" si="110"/>
        <v>0.24800266311584554</v>
      </c>
      <c r="Q42" s="7">
        <f t="shared" si="110"/>
        <v>0.23879654954765411</v>
      </c>
      <c r="R42" s="7">
        <f t="shared" si="110"/>
        <v>0.24954504420594092</v>
      </c>
      <c r="S42" s="7">
        <f t="shared" si="110"/>
        <v>0.29271888906761029</v>
      </c>
      <c r="T42" s="7">
        <f t="shared" si="110"/>
        <v>0.27829136948613303</v>
      </c>
      <c r="U42" s="7">
        <f t="shared" si="110"/>
        <v>0.27455683003128256</v>
      </c>
      <c r="V42" s="7">
        <f t="shared" si="110"/>
        <v>0.31626913669154072</v>
      </c>
      <c r="W42" s="7">
        <f t="shared" si="110"/>
        <v>0.32362936914398999</v>
      </c>
      <c r="X42" s="7">
        <f t="shared" ref="X42:Y42" si="111">+X24/X16</f>
        <v>0.32311823084243441</v>
      </c>
      <c r="Y42" s="7">
        <f t="shared" si="111"/>
        <v>0.32232097590249253</v>
      </c>
      <c r="AE42" s="7">
        <f t="shared" ref="AE42:AO42" si="112">+AE24/AE16</f>
        <v>0.30639990357960706</v>
      </c>
      <c r="AF42" s="7">
        <f t="shared" si="112"/>
        <v>0.3042760139475133</v>
      </c>
      <c r="AG42" s="7">
        <f t="shared" si="112"/>
        <v>0.35144391357659294</v>
      </c>
      <c r="AH42" s="7">
        <f t="shared" si="112"/>
        <v>0.35404658776985776</v>
      </c>
      <c r="AI42" s="7">
        <f t="shared" si="112"/>
        <v>0.30977443609022559</v>
      </c>
      <c r="AJ42" s="7">
        <f t="shared" si="112"/>
        <v>0.30048437194552446</v>
      </c>
      <c r="AK42" s="7">
        <f t="shared" si="112"/>
        <v>0.27743655325203986</v>
      </c>
      <c r="AL42" s="7">
        <f t="shared" si="112"/>
        <v>0.24993560703625703</v>
      </c>
      <c r="AM42" s="7">
        <f t="shared" si="112"/>
        <v>0.25817119844243824</v>
      </c>
      <c r="AN42" s="7">
        <f t="shared" si="112"/>
        <v>0.26271712158808935</v>
      </c>
      <c r="AO42" s="7">
        <f t="shared" si="112"/>
        <v>0.23614631726128726</v>
      </c>
      <c r="AP42" s="7">
        <f t="shared" ref="AP42:BB42" si="113">+AP24/AP16</f>
        <v>0.20117089000796673</v>
      </c>
      <c r="AQ42" s="7">
        <f t="shared" si="113"/>
        <v>0.19295427445213986</v>
      </c>
      <c r="AR42" s="7">
        <f t="shared" si="113"/>
        <v>0.22585151785763202</v>
      </c>
      <c r="AS42" s="7">
        <f t="shared" si="113"/>
        <v>0.30571695835613671</v>
      </c>
      <c r="AT42" s="7">
        <f t="shared" si="113"/>
        <v>0.27521956186624053</v>
      </c>
      <c r="AU42" s="7">
        <f t="shared" si="113"/>
        <v>0.27421810445226646</v>
      </c>
      <c r="AV42" s="7">
        <f t="shared" si="113"/>
        <v>0.32161203138124322</v>
      </c>
      <c r="AW42" s="7">
        <f t="shared" si="113"/>
        <v>0.32313892296509511</v>
      </c>
      <c r="AX42" s="7">
        <f t="shared" si="113"/>
        <v>0.33755449109694458</v>
      </c>
      <c r="AY42" s="7">
        <f t="shared" si="113"/>
        <v>0.35024703969415122</v>
      </c>
      <c r="AZ42" s="7">
        <f t="shared" si="113"/>
        <v>0.37401767791699092</v>
      </c>
      <c r="BA42" s="7">
        <f t="shared" si="113"/>
        <v>0.38596831394222458</v>
      </c>
      <c r="BB42" s="7">
        <f t="shared" si="113"/>
        <v>0.39824942065331576</v>
      </c>
    </row>
    <row r="43" spans="1:54" x14ac:dyDescent="0.25">
      <c r="A43" s="1" t="s">
        <v>60</v>
      </c>
      <c r="B43" s="7">
        <f t="shared" ref="B43:W43" si="114">+B28/B16</f>
        <v>0.18319161231734502</v>
      </c>
      <c r="C43" s="7">
        <f t="shared" si="114"/>
        <v>0.25541803615447822</v>
      </c>
      <c r="D43" s="7">
        <f t="shared" si="114"/>
        <v>0.17452282772414135</v>
      </c>
      <c r="E43" s="7">
        <f t="shared" si="114"/>
        <v>0.23160065111231687</v>
      </c>
      <c r="F43" s="7">
        <f t="shared" si="114"/>
        <v>0.16608761145800433</v>
      </c>
      <c r="G43" s="7">
        <f t="shared" si="114"/>
        <v>0.1817113612032274</v>
      </c>
      <c r="H43" s="7">
        <f t="shared" si="114"/>
        <v>0.24358391267623936</v>
      </c>
      <c r="I43" s="7">
        <f t="shared" si="114"/>
        <v>0.26761924847973567</v>
      </c>
      <c r="J43" s="7">
        <f t="shared" si="114"/>
        <v>0.32414940159814876</v>
      </c>
      <c r="K43" s="7">
        <f t="shared" si="114"/>
        <v>0.30017776341305752</v>
      </c>
      <c r="L43" s="7">
        <f t="shared" si="114"/>
        <v>0.29079517184188702</v>
      </c>
      <c r="M43" s="7">
        <f t="shared" si="114"/>
        <v>0.2740391636242947</v>
      </c>
      <c r="N43" s="7">
        <f t="shared" si="114"/>
        <v>0.24166678919586537</v>
      </c>
      <c r="O43" s="7">
        <f t="shared" si="114"/>
        <v>0.27268422185549257</v>
      </c>
      <c r="P43" s="7">
        <f t="shared" si="114"/>
        <v>0.20132576854049672</v>
      </c>
      <c r="Q43" s="7">
        <f t="shared" si="114"/>
        <v>0.17915001051967178</v>
      </c>
      <c r="R43" s="7">
        <f t="shared" si="114"/>
        <v>0.21567054035851949</v>
      </c>
      <c r="S43" s="7">
        <f t="shared" si="114"/>
        <v>0.2462066377137955</v>
      </c>
      <c r="T43" s="7">
        <f t="shared" si="114"/>
        <v>0.25672486406842865</v>
      </c>
      <c r="U43" s="7">
        <f t="shared" si="114"/>
        <v>0.23968253968253969</v>
      </c>
      <c r="V43" s="7">
        <f t="shared" si="114"/>
        <v>0.29379555246526529</v>
      </c>
      <c r="W43" s="7">
        <f t="shared" si="114"/>
        <v>0.27871657501593072</v>
      </c>
      <c r="X43" s="7">
        <f t="shared" ref="X43:Y43" si="115">+X28/X16</f>
        <v>0.29796755336022113</v>
      </c>
      <c r="Y43" s="7">
        <f t="shared" si="115"/>
        <v>0.27642293246696809</v>
      </c>
      <c r="AE43" s="7">
        <f t="shared" ref="AE43:AO43" si="116">+AE28/AE16</f>
        <v>0.25332650355550196</v>
      </c>
      <c r="AF43" s="7">
        <f t="shared" si="116"/>
        <v>0.19393466691135988</v>
      </c>
      <c r="AG43" s="7">
        <f t="shared" si="116"/>
        <v>0.2756754471269714</v>
      </c>
      <c r="AH43" s="7">
        <f t="shared" si="116"/>
        <v>0.29006514102520375</v>
      </c>
      <c r="AI43" s="7">
        <f t="shared" si="116"/>
        <v>0.25687903970452447</v>
      </c>
      <c r="AJ43" s="7">
        <f t="shared" si="116"/>
        <v>0.2509394209257369</v>
      </c>
      <c r="AK43" s="7">
        <f t="shared" si="116"/>
        <v>0.23703596966804158</v>
      </c>
      <c r="AL43" s="7">
        <f t="shared" si="116"/>
        <v>0.20636050968924713</v>
      </c>
      <c r="AM43" s="7">
        <f t="shared" si="116"/>
        <v>0.21800530744509194</v>
      </c>
      <c r="AN43" s="7">
        <f t="shared" si="116"/>
        <v>0.2157701169797944</v>
      </c>
      <c r="AO43" s="7">
        <f t="shared" si="116"/>
        <v>0.11422128005051645</v>
      </c>
      <c r="AP43" s="7">
        <f t="shared" ref="AP43:BB43" si="117">+AP28/AP16</f>
        <v>0.22464716157843576</v>
      </c>
      <c r="AQ43" s="7">
        <f t="shared" si="117"/>
        <v>0.19364624328882904</v>
      </c>
      <c r="AR43" s="7">
        <f t="shared" si="117"/>
        <v>0.22061941520980458</v>
      </c>
      <c r="AS43" s="7">
        <f t="shared" si="117"/>
        <v>0.295310844327484</v>
      </c>
      <c r="AT43" s="7">
        <f t="shared" si="117"/>
        <v>0.22264492497419</v>
      </c>
      <c r="AU43" s="7">
        <f t="shared" si="117"/>
        <v>0.24006649446638517</v>
      </c>
      <c r="AV43" s="7">
        <f t="shared" si="117"/>
        <v>0.28655097737830626</v>
      </c>
      <c r="AW43" s="7">
        <f t="shared" si="117"/>
        <v>0.29206279873139251</v>
      </c>
      <c r="AX43" s="7">
        <f t="shared" si="117"/>
        <v>0.32994858255087856</v>
      </c>
      <c r="AY43" s="7">
        <f t="shared" si="117"/>
        <v>0.36765526596704667</v>
      </c>
      <c r="AZ43" s="7">
        <f t="shared" si="117"/>
        <v>0.41433147157397876</v>
      </c>
      <c r="BA43" s="7">
        <f t="shared" si="117"/>
        <v>0.45216704636964233</v>
      </c>
      <c r="BB43" s="7">
        <f t="shared" si="117"/>
        <v>0.48873641504466381</v>
      </c>
    </row>
    <row r="45" spans="1:54" x14ac:dyDescent="0.25">
      <c r="A45" s="1" t="s">
        <v>135</v>
      </c>
      <c r="B45" s="4">
        <f t="shared" ref="B45:W45" si="118">+B19/B$16</f>
        <v>0.16590990395993285</v>
      </c>
      <c r="C45" s="4">
        <f t="shared" si="118"/>
        <v>0.15953677074774034</v>
      </c>
      <c r="D45" s="4">
        <f t="shared" si="118"/>
        <v>0.16183115632484751</v>
      </c>
      <c r="E45" s="4">
        <f t="shared" si="118"/>
        <v>0.15674443841562669</v>
      </c>
      <c r="F45" s="4">
        <f t="shared" si="118"/>
        <v>0.16569887509414707</v>
      </c>
      <c r="G45" s="4">
        <f t="shared" si="118"/>
        <v>0.17951797790949683</v>
      </c>
      <c r="H45" s="4">
        <f t="shared" si="118"/>
        <v>0.14848504537283694</v>
      </c>
      <c r="I45" s="4">
        <f t="shared" si="118"/>
        <v>0.12341382825406869</v>
      </c>
      <c r="J45" s="4">
        <f t="shared" si="118"/>
        <v>0.13531836424774921</v>
      </c>
      <c r="K45" s="4">
        <f t="shared" si="118"/>
        <v>0.1232223658694247</v>
      </c>
      <c r="L45" s="4">
        <f t="shared" si="118"/>
        <v>0.11815473448201726</v>
      </c>
      <c r="M45" s="4">
        <f t="shared" si="118"/>
        <v>0.11560570859608364</v>
      </c>
      <c r="N45" s="4">
        <f t="shared" si="118"/>
        <v>0.13408125156224729</v>
      </c>
      <c r="O45" s="4">
        <f t="shared" si="118"/>
        <v>9.8170337949343475E-2</v>
      </c>
      <c r="P45" s="4">
        <f t="shared" si="118"/>
        <v>0.14868581022404909</v>
      </c>
      <c r="Q45" s="4">
        <f t="shared" si="118"/>
        <v>0.13500683778666106</v>
      </c>
      <c r="R45" s="4">
        <f t="shared" si="118"/>
        <v>0.16432859988249959</v>
      </c>
      <c r="S45" s="4">
        <f t="shared" si="118"/>
        <v>0.14192268511071793</v>
      </c>
      <c r="T45" s="4">
        <f t="shared" si="118"/>
        <v>0.14679305803658743</v>
      </c>
      <c r="U45" s="4">
        <f t="shared" si="118"/>
        <v>0.14034294983200093</v>
      </c>
      <c r="V45" s="4">
        <f t="shared" si="118"/>
        <v>0.1477917530637331</v>
      </c>
      <c r="W45" s="4">
        <f t="shared" si="118"/>
        <v>0.13995421396710014</v>
      </c>
      <c r="X45" s="4">
        <f t="shared" ref="X45:Y45" si="119">+X19/X$16</f>
        <v>0.1410137309104092</v>
      </c>
      <c r="Y45" s="4">
        <f t="shared" si="119"/>
        <v>0.13570756034723588</v>
      </c>
      <c r="AP45" s="4">
        <f t="shared" ref="AP45:BB45" si="120">+AP19/AP$16</f>
        <v>0.15654989438601363</v>
      </c>
      <c r="AQ45" s="4">
        <f t="shared" si="120"/>
        <v>0.16074683208016954</v>
      </c>
      <c r="AR45" s="4">
        <f t="shared" si="120"/>
        <v>0.15106258252203783</v>
      </c>
      <c r="AS45" s="4">
        <f t="shared" si="120"/>
        <v>0.12231162449492891</v>
      </c>
      <c r="AT45" s="4">
        <f t="shared" si="120"/>
        <v>0.12905005020577295</v>
      </c>
      <c r="AU45" s="4">
        <f t="shared" si="120"/>
        <v>0.14778102370247956</v>
      </c>
      <c r="AV45" s="4">
        <f t="shared" si="120"/>
        <v>0.14092418104211785</v>
      </c>
      <c r="AW45" s="4">
        <f t="shared" si="120"/>
        <v>0.14499999999999999</v>
      </c>
      <c r="AX45" s="4">
        <f t="shared" si="120"/>
        <v>0.14299999999999999</v>
      </c>
      <c r="AY45" s="4">
        <f t="shared" si="120"/>
        <v>0.14199999999999999</v>
      </c>
      <c r="AZ45" s="4">
        <f t="shared" si="120"/>
        <v>0.13</v>
      </c>
      <c r="BA45" s="4">
        <f t="shared" si="120"/>
        <v>0.13</v>
      </c>
      <c r="BB45" s="4">
        <f t="shared" si="120"/>
        <v>0.13</v>
      </c>
    </row>
    <row r="46" spans="1:54" x14ac:dyDescent="0.25">
      <c r="A46" s="1" t="s">
        <v>136</v>
      </c>
      <c r="B46" s="4">
        <f t="shared" ref="B46:W46" si="121">+B20/B$16</f>
        <v>0.10746030435620132</v>
      </c>
      <c r="C46" s="4">
        <f t="shared" si="121"/>
        <v>0.10815529991783072</v>
      </c>
      <c r="D46" s="4">
        <f t="shared" si="121"/>
        <v>0.11380527914269488</v>
      </c>
      <c r="E46" s="4">
        <f t="shared" si="121"/>
        <v>0.1245360824742268</v>
      </c>
      <c r="F46" s="4">
        <f t="shared" si="121"/>
        <v>0.10933210233484779</v>
      </c>
      <c r="G46" s="4">
        <f t="shared" si="121"/>
        <v>0.10186176462908322</v>
      </c>
      <c r="H46" s="4">
        <f t="shared" si="121"/>
        <v>9.1633638706603432E-2</v>
      </c>
      <c r="I46" s="4">
        <f t="shared" si="121"/>
        <v>9.3395198425252207E-2</v>
      </c>
      <c r="J46" s="4">
        <f t="shared" si="121"/>
        <v>8.1642983693097582E-2</v>
      </c>
      <c r="K46" s="4">
        <f t="shared" si="121"/>
        <v>8.5261797026502911E-2</v>
      </c>
      <c r="L46" s="4">
        <f t="shared" si="121"/>
        <v>8.4707761294880057E-2</v>
      </c>
      <c r="M46" s="4">
        <f t="shared" si="121"/>
        <v>0.10094922004646532</v>
      </c>
      <c r="N46" s="4">
        <f t="shared" si="121"/>
        <v>8.5647909896928442E-2</v>
      </c>
      <c r="O46" s="4">
        <f t="shared" si="121"/>
        <v>9.514242663413934E-2</v>
      </c>
      <c r="P46" s="4">
        <f t="shared" si="121"/>
        <v>0.10028657442250911</v>
      </c>
      <c r="Q46" s="4">
        <f t="shared" si="121"/>
        <v>9.4453503050704823E-2</v>
      </c>
      <c r="R46" s="4">
        <f t="shared" si="121"/>
        <v>9.3613423703555104E-2</v>
      </c>
      <c r="S46" s="4">
        <f t="shared" si="121"/>
        <v>9.0893249691705535E-2</v>
      </c>
      <c r="T46" s="4">
        <f t="shared" si="121"/>
        <v>8.9760473576467215E-2</v>
      </c>
      <c r="U46" s="4">
        <f t="shared" si="121"/>
        <v>8.9433437608620089E-2</v>
      </c>
      <c r="V46" s="4">
        <f t="shared" si="121"/>
        <v>7.9787432175716114E-2</v>
      </c>
      <c r="W46" s="4">
        <f t="shared" si="121"/>
        <v>8.0149158622642852E-2</v>
      </c>
      <c r="X46" s="4">
        <f t="shared" ref="X46:Y46" si="122">+X20/X$16</f>
        <v>8.1875651425205059E-2</v>
      </c>
      <c r="Y46" s="4">
        <f t="shared" si="122"/>
        <v>7.6182888596881493E-2</v>
      </c>
      <c r="AP46" s="4">
        <f t="shared" ref="AP46:BB46" si="123">+AP20/AP$16</f>
        <v>0.1193766947573071</v>
      </c>
      <c r="AQ46" s="4">
        <f t="shared" si="123"/>
        <v>0.11407600536275848</v>
      </c>
      <c r="AR46" s="4">
        <f t="shared" si="123"/>
        <v>9.8319700647027566E-2</v>
      </c>
      <c r="AS46" s="4">
        <f t="shared" si="123"/>
        <v>8.8931325857699015E-2</v>
      </c>
      <c r="AT46" s="4">
        <f t="shared" si="123"/>
        <v>9.3930758460733427E-2</v>
      </c>
      <c r="AU46" s="4">
        <f t="shared" si="123"/>
        <v>9.0818298340240869E-2</v>
      </c>
      <c r="AV46" s="4">
        <f t="shared" si="123"/>
        <v>7.94473427080893E-2</v>
      </c>
      <c r="AW46" s="4">
        <f t="shared" si="123"/>
        <v>7.3832182693485945E-2</v>
      </c>
      <c r="AX46" s="4">
        <f t="shared" si="123"/>
        <v>6.8715167446522701E-2</v>
      </c>
      <c r="AY46" s="4">
        <f t="shared" si="123"/>
        <v>6.4103258002458127E-2</v>
      </c>
      <c r="AZ46" s="4">
        <f t="shared" si="123"/>
        <v>5.9468329479546382E-2</v>
      </c>
      <c r="BA46" s="4">
        <f t="shared" si="123"/>
        <v>5.4744627259087915E-2</v>
      </c>
      <c r="BB46" s="4">
        <f t="shared" si="123"/>
        <v>4.9835742345585354E-2</v>
      </c>
    </row>
    <row r="47" spans="1:54" x14ac:dyDescent="0.25">
      <c r="A47" s="1" t="s">
        <v>137</v>
      </c>
      <c r="B47" s="4">
        <f t="shared" ref="B47:W47" si="124">+B21/B$16</f>
        <v>5.7458928424007266E-2</v>
      </c>
      <c r="C47" s="4">
        <f t="shared" si="124"/>
        <v>5.2459942481511916E-2</v>
      </c>
      <c r="D47" s="4">
        <f t="shared" si="124"/>
        <v>6.3976888318230077E-2</v>
      </c>
      <c r="E47" s="4">
        <f t="shared" si="124"/>
        <v>6.139989148128052E-2</v>
      </c>
      <c r="F47" s="4">
        <f t="shared" si="124"/>
        <v>6.9972545494302582E-2</v>
      </c>
      <c r="G47" s="4">
        <f t="shared" si="124"/>
        <v>6.7498759693970803E-2</v>
      </c>
      <c r="H47" s="4">
        <f t="shared" si="124"/>
        <v>5.9688562579862693E-2</v>
      </c>
      <c r="I47" s="4">
        <f t="shared" si="124"/>
        <v>4.975570318816127E-2</v>
      </c>
      <c r="J47" s="4">
        <f t="shared" si="124"/>
        <v>5.0131973822178835E-2</v>
      </c>
      <c r="K47" s="4">
        <f t="shared" si="124"/>
        <v>5.3991596638655465E-2</v>
      </c>
      <c r="L47" s="4">
        <f t="shared" si="124"/>
        <v>5.0001535673700054E-2</v>
      </c>
      <c r="M47" s="4">
        <f t="shared" si="124"/>
        <v>5.4961832061068701E-2</v>
      </c>
      <c r="N47" s="4">
        <f t="shared" si="124"/>
        <v>4.9609621972916143E-2</v>
      </c>
      <c r="O47" s="4">
        <f t="shared" si="124"/>
        <v>5.2479012700007176E-2</v>
      </c>
      <c r="P47" s="4">
        <f t="shared" si="124"/>
        <v>5.2061020089156487E-2</v>
      </c>
      <c r="Q47" s="4">
        <f t="shared" si="124"/>
        <v>6.7010309278350513E-2</v>
      </c>
      <c r="R47" s="4">
        <f t="shared" si="124"/>
        <v>5.3863900153323686E-2</v>
      </c>
      <c r="S47" s="4">
        <f t="shared" si="124"/>
        <v>4.6659696531017106E-2</v>
      </c>
      <c r="T47" s="4">
        <f t="shared" si="124"/>
        <v>5.188217959918115E-2</v>
      </c>
      <c r="U47" s="4">
        <f t="shared" si="124"/>
        <v>6.0317460317460318E-2</v>
      </c>
      <c r="V47" s="4">
        <f t="shared" si="124"/>
        <v>3.7571859595972139E-2</v>
      </c>
      <c r="W47" s="4">
        <f t="shared" si="124"/>
        <v>3.7266054612824812E-2</v>
      </c>
      <c r="X47" s="4">
        <f t="shared" ref="X47:Y47" si="125">+X21/X$16</f>
        <v>4.0773553269588071E-2</v>
      </c>
      <c r="Y47" s="4">
        <f t="shared" si="125"/>
        <v>4.5577295160839741E-2</v>
      </c>
      <c r="AP47" s="4">
        <f t="shared" ref="AP47:BB47" si="126">+AP21/AP$16</f>
        <v>5.0599697410447377E-2</v>
      </c>
      <c r="AQ47" s="4">
        <f t="shared" si="126"/>
        <v>5.9008878207306451E-2</v>
      </c>
      <c r="AR47" s="4">
        <f t="shared" si="126"/>
        <v>6.0549946035381066E-2</v>
      </c>
      <c r="AS47" s="4">
        <f t="shared" si="126"/>
        <v>5.2438120301043716E-2</v>
      </c>
      <c r="AT47" s="4">
        <f t="shared" si="126"/>
        <v>5.5594054505084221E-2</v>
      </c>
      <c r="AU47" s="4">
        <f t="shared" si="126"/>
        <v>5.3433053345218189E-2</v>
      </c>
      <c r="AV47" s="4">
        <f t="shared" si="126"/>
        <v>4.0535058197007014E-2</v>
      </c>
      <c r="AW47" s="4">
        <f t="shared" si="126"/>
        <v>3.8028894341419026E-2</v>
      </c>
      <c r="AX47" s="4">
        <f t="shared" si="126"/>
        <v>3.573034145653279E-2</v>
      </c>
      <c r="AY47" s="4">
        <f t="shared" si="126"/>
        <v>3.3649702303390712E-2</v>
      </c>
      <c r="AZ47" s="4">
        <f t="shared" si="126"/>
        <v>3.1513992603462673E-2</v>
      </c>
      <c r="BA47" s="4">
        <f t="shared" si="126"/>
        <v>2.928705879868742E-2</v>
      </c>
      <c r="BB47" s="4">
        <f t="shared" si="126"/>
        <v>2.6914837001098871E-2</v>
      </c>
    </row>
    <row r="49" spans="1:54" x14ac:dyDescent="0.25">
      <c r="A49" s="1" t="s">
        <v>52</v>
      </c>
      <c r="B49" s="3">
        <v>12000</v>
      </c>
      <c r="C49" s="3">
        <v>12627</v>
      </c>
      <c r="D49" s="3">
        <v>15466</v>
      </c>
      <c r="E49" s="3">
        <v>14427</v>
      </c>
      <c r="F49" s="3">
        <v>11451</v>
      </c>
      <c r="G49" s="3">
        <v>13993</v>
      </c>
      <c r="H49" s="3">
        <v>17003</v>
      </c>
      <c r="I49" s="3">
        <v>22677</v>
      </c>
      <c r="J49" s="3">
        <v>19289</v>
      </c>
      <c r="K49" s="3">
        <f>41179-J49</f>
        <v>21890</v>
      </c>
      <c r="L49" s="3">
        <f>66718-K49-J49</f>
        <v>25539</v>
      </c>
      <c r="M49" s="3">
        <v>24934</v>
      </c>
      <c r="N49" s="3">
        <v>25106</v>
      </c>
      <c r="O49" s="3">
        <f>44528-N49</f>
        <v>19422</v>
      </c>
      <c r="P49" s="3">
        <f>67881-O49-N49</f>
        <v>23353</v>
      </c>
      <c r="Q49" s="3">
        <v>23614</v>
      </c>
      <c r="R49" s="3">
        <v>23509</v>
      </c>
      <c r="S49" s="3">
        <f>52175-R49</f>
        <v>28666</v>
      </c>
      <c r="T49" s="3">
        <f>82831-S49-R49</f>
        <v>30656</v>
      </c>
      <c r="U49" s="3">
        <v>18915</v>
      </c>
      <c r="V49" s="3">
        <v>28848</v>
      </c>
      <c r="W49" s="3">
        <f>55488-V49</f>
        <v>26640</v>
      </c>
      <c r="X49" s="3">
        <f>86186-W49-V49</f>
        <v>30698</v>
      </c>
      <c r="Y49" s="3">
        <v>39113</v>
      </c>
      <c r="Z49" s="3"/>
      <c r="AE49" s="19">
        <v>5775.4</v>
      </c>
      <c r="AF49" s="19">
        <v>7853</v>
      </c>
      <c r="AG49" s="19">
        <v>9316</v>
      </c>
      <c r="AH49" s="19">
        <v>11081</v>
      </c>
      <c r="AI49" s="19">
        <v>14565</v>
      </c>
      <c r="AJ49" s="19">
        <v>16619</v>
      </c>
      <c r="AK49" s="19">
        <v>18659</v>
      </c>
      <c r="AL49" s="19">
        <v>23024</v>
      </c>
      <c r="AM49" s="19">
        <v>26572</v>
      </c>
      <c r="AN49" s="19">
        <v>36036</v>
      </c>
      <c r="AO49" s="19">
        <v>37091</v>
      </c>
      <c r="AP49" s="3">
        <v>47971</v>
      </c>
      <c r="AQ49" s="3">
        <v>54520</v>
      </c>
      <c r="AR49" s="3">
        <v>65124</v>
      </c>
      <c r="AS49" s="3">
        <f t="shared" ref="AS49:AS51" si="127">+SUM(J49:M49)</f>
        <v>91652</v>
      </c>
      <c r="AT49" s="3">
        <f t="shared" ref="AT49:AT51" si="128">+SUM(N49:Q49)</f>
        <v>91495</v>
      </c>
      <c r="AU49" s="3">
        <f>+SUM(R49:U49)</f>
        <v>101746</v>
      </c>
      <c r="AV49" s="3">
        <f>+SUM(V49:Y49)</f>
        <v>125299</v>
      </c>
      <c r="AW49" s="3">
        <f>+AV49*1.2</f>
        <v>150358.79999999999</v>
      </c>
    </row>
    <row r="50" spans="1:54" x14ac:dyDescent="0.25">
      <c r="A50" s="1" t="s">
        <v>53</v>
      </c>
      <c r="B50" s="3">
        <v>4638</v>
      </c>
      <c r="C50" s="3">
        <v>6126</v>
      </c>
      <c r="D50" s="3">
        <v>6732</v>
      </c>
      <c r="E50" s="3">
        <v>6052</v>
      </c>
      <c r="F50" s="3">
        <v>6005</v>
      </c>
      <c r="G50" s="3">
        <v>5391</v>
      </c>
      <c r="H50" s="3">
        <v>5406</v>
      </c>
      <c r="I50" s="3">
        <v>5479</v>
      </c>
      <c r="J50" s="3">
        <v>5942</v>
      </c>
      <c r="K50" s="3">
        <f>11438-J50</f>
        <v>5496</v>
      </c>
      <c r="L50" s="3">
        <f>18257-K50-J50</f>
        <v>6819</v>
      </c>
      <c r="M50" s="3">
        <v>6383</v>
      </c>
      <c r="N50" s="3">
        <v>9786</v>
      </c>
      <c r="O50" s="3">
        <f>16614-N50</f>
        <v>6828</v>
      </c>
      <c r="P50" s="3">
        <f>23890-O50-N50</f>
        <v>7276</v>
      </c>
      <c r="Q50" s="3">
        <v>7595</v>
      </c>
      <c r="R50" s="3">
        <v>6289</v>
      </c>
      <c r="S50" s="3">
        <f>13177-R50</f>
        <v>6888</v>
      </c>
      <c r="T50" s="3">
        <f>21232-S50-R50</f>
        <v>8055</v>
      </c>
      <c r="U50" s="3">
        <v>11019</v>
      </c>
      <c r="V50" s="3">
        <v>12012</v>
      </c>
      <c r="W50" s="3">
        <f>25198-V50</f>
        <v>13186</v>
      </c>
      <c r="X50" s="3">
        <f>38259-W50-V50</f>
        <v>13061</v>
      </c>
      <c r="Y50" s="3" t="s">
        <v>173</v>
      </c>
      <c r="Z50" s="3">
        <v>17000</v>
      </c>
      <c r="AP50" s="3">
        <v>25139</v>
      </c>
      <c r="AQ50" s="3">
        <v>23548</v>
      </c>
      <c r="AR50" s="3">
        <v>22281</v>
      </c>
      <c r="AS50" s="3">
        <f t="shared" si="127"/>
        <v>24640</v>
      </c>
      <c r="AT50" s="3">
        <f t="shared" si="128"/>
        <v>31485</v>
      </c>
      <c r="AU50" s="3">
        <f t="shared" ref="AU50:AU51" si="129">+SUM(R50:U50)</f>
        <v>32251</v>
      </c>
      <c r="AV50" s="3">
        <f t="shared" ref="AV50:AV51" si="130">+SUM(V50:Y50)</f>
        <v>38259</v>
      </c>
      <c r="AW50" s="3">
        <v>75000</v>
      </c>
    </row>
    <row r="51" spans="1:54" x14ac:dyDescent="0.25">
      <c r="A51" s="1" t="s">
        <v>54</v>
      </c>
      <c r="B51" s="3">
        <v>2769</v>
      </c>
      <c r="C51" s="3">
        <v>2756</v>
      </c>
      <c r="D51" s="3">
        <v>2624</v>
      </c>
      <c r="E51" s="3">
        <v>2645</v>
      </c>
      <c r="F51" s="3">
        <v>3191</v>
      </c>
      <c r="G51" s="3">
        <v>3382</v>
      </c>
      <c r="H51" s="3">
        <v>3195</v>
      </c>
      <c r="I51" s="3">
        <v>3223</v>
      </c>
      <c r="J51" s="3">
        <v>3745</v>
      </c>
      <c r="K51" s="3">
        <f>7548-J51</f>
        <v>3803</v>
      </c>
      <c r="L51" s="3">
        <f>11422-K51-J51</f>
        <v>3874</v>
      </c>
      <c r="M51" s="3">
        <v>3954</v>
      </c>
      <c r="N51" s="3">
        <v>4504</v>
      </c>
      <c r="O51" s="3">
        <f>9286-N51</f>
        <v>4782</v>
      </c>
      <c r="P51" s="3">
        <f>14262-O51-N51</f>
        <v>4976</v>
      </c>
      <c r="Q51" s="3">
        <v>5100</v>
      </c>
      <c r="R51" s="3">
        <v>5284</v>
      </c>
      <c r="S51" s="3">
        <f>11058-R51</f>
        <v>5774</v>
      </c>
      <c r="T51" s="3">
        <f>16801-S51-R51</f>
        <v>5743</v>
      </c>
      <c r="U51" s="3">
        <v>5659</v>
      </c>
      <c r="V51" s="3">
        <v>5264</v>
      </c>
      <c r="W51" s="3">
        <f>11129-V51</f>
        <v>5865</v>
      </c>
      <c r="X51" s="3">
        <f>16975-W51-V51</f>
        <v>5846</v>
      </c>
      <c r="Y51" s="3">
        <v>5810</v>
      </c>
      <c r="Z51" s="3"/>
      <c r="AP51" s="3">
        <v>9353</v>
      </c>
      <c r="AQ51" s="3">
        <v>10794</v>
      </c>
      <c r="AR51" s="3">
        <v>12991</v>
      </c>
      <c r="AS51" s="3">
        <f t="shared" si="127"/>
        <v>15376</v>
      </c>
      <c r="AT51" s="3">
        <f t="shared" si="128"/>
        <v>19362</v>
      </c>
      <c r="AU51" s="3">
        <f t="shared" si="129"/>
        <v>22460</v>
      </c>
      <c r="AV51" s="3">
        <f t="shared" si="130"/>
        <v>22785</v>
      </c>
      <c r="AW51" s="3"/>
    </row>
    <row r="52" spans="1:54" x14ac:dyDescent="0.25">
      <c r="A52" s="2" t="s">
        <v>55</v>
      </c>
      <c r="B52" s="6">
        <f>+B49-B50</f>
        <v>7362</v>
      </c>
      <c r="C52" s="6">
        <f t="shared" ref="C52:AW52" si="131">+C49-C50</f>
        <v>6501</v>
      </c>
      <c r="D52" s="6">
        <f t="shared" si="131"/>
        <v>8734</v>
      </c>
      <c r="E52" s="6">
        <f t="shared" si="131"/>
        <v>8375</v>
      </c>
      <c r="F52" s="6">
        <f t="shared" si="131"/>
        <v>5446</v>
      </c>
      <c r="G52" s="6">
        <f t="shared" si="131"/>
        <v>8602</v>
      </c>
      <c r="H52" s="6">
        <f>+H49-H50</f>
        <v>11597</v>
      </c>
      <c r="I52" s="6">
        <f t="shared" si="131"/>
        <v>17198</v>
      </c>
      <c r="J52" s="6">
        <f t="shared" si="131"/>
        <v>13347</v>
      </c>
      <c r="K52" s="6">
        <f t="shared" si="131"/>
        <v>16394</v>
      </c>
      <c r="L52" s="6">
        <f t="shared" si="131"/>
        <v>18720</v>
      </c>
      <c r="M52" s="6">
        <f t="shared" si="131"/>
        <v>18551</v>
      </c>
      <c r="N52" s="6">
        <f t="shared" si="131"/>
        <v>15320</v>
      </c>
      <c r="O52" s="6">
        <f t="shared" si="131"/>
        <v>12594</v>
      </c>
      <c r="P52" s="6">
        <f t="shared" si="131"/>
        <v>16077</v>
      </c>
      <c r="Q52" s="6">
        <f t="shared" si="131"/>
        <v>16019</v>
      </c>
      <c r="R52" s="6">
        <f t="shared" si="131"/>
        <v>17220</v>
      </c>
      <c r="S52" s="6">
        <f t="shared" si="131"/>
        <v>21778</v>
      </c>
      <c r="T52" s="6">
        <f t="shared" si="131"/>
        <v>22601</v>
      </c>
      <c r="U52" s="6">
        <f t="shared" si="131"/>
        <v>7896</v>
      </c>
      <c r="V52" s="6">
        <f t="shared" si="131"/>
        <v>16836</v>
      </c>
      <c r="W52" s="6">
        <f t="shared" si="131"/>
        <v>13454</v>
      </c>
      <c r="X52" s="6">
        <f t="shared" si="131"/>
        <v>17637</v>
      </c>
      <c r="Y52" s="6" t="e">
        <f t="shared" si="131"/>
        <v>#VALUE!</v>
      </c>
      <c r="Z52" s="6"/>
      <c r="AA52" s="6"/>
      <c r="AB52" s="6"/>
      <c r="AC52" s="6"/>
      <c r="AD52" s="6"/>
      <c r="AE52" s="6"/>
      <c r="AF52" s="6"/>
      <c r="AG52" s="6"/>
      <c r="AH52" s="6"/>
      <c r="AI52" s="6"/>
      <c r="AJ52" s="6"/>
      <c r="AK52" s="6"/>
      <c r="AL52" s="6"/>
      <c r="AM52" s="6"/>
      <c r="AN52" s="6"/>
      <c r="AO52" s="6"/>
      <c r="AP52" s="6">
        <f t="shared" si="131"/>
        <v>22832</v>
      </c>
      <c r="AQ52" s="6">
        <f t="shared" si="131"/>
        <v>30972</v>
      </c>
      <c r="AR52" s="6">
        <f t="shared" si="131"/>
        <v>42843</v>
      </c>
      <c r="AS52" s="6">
        <f t="shared" si="131"/>
        <v>67012</v>
      </c>
      <c r="AT52" s="6">
        <f t="shared" si="131"/>
        <v>60010</v>
      </c>
      <c r="AU52" s="6">
        <f t="shared" si="131"/>
        <v>69495</v>
      </c>
      <c r="AV52" s="6">
        <f t="shared" si="131"/>
        <v>87040</v>
      </c>
      <c r="AW52" s="6">
        <f t="shared" si="131"/>
        <v>75358.799999999988</v>
      </c>
    </row>
    <row r="53" spans="1:54" x14ac:dyDescent="0.25">
      <c r="F53" s="3"/>
      <c r="G53" s="3"/>
      <c r="H53" s="3"/>
      <c r="I53" s="3"/>
      <c r="J53" s="3"/>
      <c r="K53" s="3"/>
      <c r="L53" s="3"/>
      <c r="M53" s="3"/>
      <c r="N53" s="3"/>
      <c r="O53" s="3"/>
      <c r="P53" s="3"/>
      <c r="Q53" s="3"/>
      <c r="R53" s="3"/>
      <c r="S53" s="3"/>
      <c r="T53" s="3"/>
      <c r="U53" s="3"/>
      <c r="V53" s="3"/>
      <c r="W53" s="3"/>
      <c r="AP53" s="3"/>
      <c r="AQ53" s="3"/>
      <c r="AR53" s="3"/>
      <c r="AS53" s="3"/>
    </row>
    <row r="54" spans="1:54" x14ac:dyDescent="0.25">
      <c r="A54" s="1" t="s">
        <v>56</v>
      </c>
      <c r="E54" s="3">
        <f t="shared" ref="E54" si="132">+SUM(B52:E52)</f>
        <v>30972</v>
      </c>
      <c r="F54" s="3">
        <f>+SUM(C52:F52)</f>
        <v>29056</v>
      </c>
      <c r="G54" s="3">
        <f t="shared" ref="G54:V54" si="133">+SUM(D52:G52)</f>
        <v>31157</v>
      </c>
      <c r="H54" s="3">
        <f t="shared" si="133"/>
        <v>34020</v>
      </c>
      <c r="I54" s="3">
        <f t="shared" si="133"/>
        <v>42843</v>
      </c>
      <c r="J54" s="3">
        <f t="shared" si="133"/>
        <v>50744</v>
      </c>
      <c r="K54" s="3">
        <f t="shared" si="133"/>
        <v>58536</v>
      </c>
      <c r="L54" s="3">
        <f t="shared" si="133"/>
        <v>65659</v>
      </c>
      <c r="M54" s="3">
        <f t="shared" si="133"/>
        <v>67012</v>
      </c>
      <c r="N54" s="3">
        <f t="shared" si="133"/>
        <v>68985</v>
      </c>
      <c r="O54" s="3">
        <f t="shared" si="133"/>
        <v>65185</v>
      </c>
      <c r="P54" s="3">
        <f t="shared" si="133"/>
        <v>62542</v>
      </c>
      <c r="Q54" s="3">
        <f t="shared" si="133"/>
        <v>60010</v>
      </c>
      <c r="R54" s="3">
        <f t="shared" si="133"/>
        <v>61910</v>
      </c>
      <c r="S54" s="3">
        <f t="shared" si="133"/>
        <v>71094</v>
      </c>
      <c r="T54" s="3">
        <f t="shared" si="133"/>
        <v>77618</v>
      </c>
      <c r="U54" s="3">
        <f t="shared" si="133"/>
        <v>69495</v>
      </c>
      <c r="V54" s="3">
        <f t="shared" si="133"/>
        <v>69111</v>
      </c>
      <c r="W54" s="3">
        <f>+SUM(T52:W52)</f>
        <v>60787</v>
      </c>
      <c r="X54" s="3">
        <f t="shared" ref="X54" si="134">+SUM(U52:X52)</f>
        <v>55823</v>
      </c>
      <c r="Y54" s="3" t="e">
        <f t="shared" ref="Y54" si="135">+SUM(V52:Y52)</f>
        <v>#VALUE!</v>
      </c>
      <c r="AP54" s="3"/>
      <c r="AQ54" s="3"/>
      <c r="AR54" s="3"/>
      <c r="AS54" s="3"/>
    </row>
    <row r="55" spans="1:54" x14ac:dyDescent="0.25">
      <c r="AP55" s="3"/>
      <c r="AQ55" s="3"/>
      <c r="AR55" s="3"/>
      <c r="AS55" s="3"/>
    </row>
    <row r="56" spans="1:54" x14ac:dyDescent="0.25">
      <c r="A56" s="1" t="s">
        <v>57</v>
      </c>
      <c r="B56" s="3"/>
      <c r="C56" s="3"/>
      <c r="D56" s="3"/>
      <c r="E56" s="3"/>
      <c r="F56" s="3"/>
      <c r="G56" s="3"/>
      <c r="H56" s="3"/>
      <c r="I56" s="3"/>
      <c r="J56" s="3"/>
      <c r="K56" s="3"/>
      <c r="L56" s="3"/>
      <c r="M56" s="3">
        <f>139649+29549-14817</f>
        <v>154381</v>
      </c>
      <c r="N56" s="3">
        <f>133970+30544-14971</f>
        <v>149543</v>
      </c>
      <c r="O56" s="3">
        <f>124997+30665-14734</f>
        <v>140928</v>
      </c>
      <c r="P56" s="3">
        <f>116259+30419-14653</f>
        <v>132025</v>
      </c>
      <c r="Q56" s="3">
        <f>113762+30492-14701</f>
        <v>129553</v>
      </c>
      <c r="R56" s="1">
        <f>115102+31213-13697</f>
        <v>132618</v>
      </c>
      <c r="S56" s="3">
        <f>118332+31224-13705</f>
        <v>135851</v>
      </c>
      <c r="T56" s="3">
        <f>119935+30907-13781</f>
        <v>137061</v>
      </c>
      <c r="U56" s="3">
        <f>110916+31008-13253</f>
        <v>128671</v>
      </c>
      <c r="V56" s="3">
        <f>108090+33994-13228</f>
        <v>128856</v>
      </c>
      <c r="W56" s="3">
        <f>100725+34172-13238</f>
        <v>121659</v>
      </c>
      <c r="X56" s="3">
        <f>129407-12297</f>
        <v>117110</v>
      </c>
      <c r="Y56" s="3">
        <f>95657+37982-10883</f>
        <v>122756</v>
      </c>
      <c r="AF56" s="3">
        <f t="shared" ref="AF56:AP56" si="136">+AF57+AF58+AF61-AF74</f>
        <v>15931.000000000002</v>
      </c>
      <c r="AG56" s="3">
        <f>+AG57+AG58+AG61-AG74</f>
        <v>24614</v>
      </c>
      <c r="AH56" s="3">
        <f t="shared" si="136"/>
        <v>36248</v>
      </c>
      <c r="AI56" s="3">
        <f t="shared" si="136"/>
        <v>43175</v>
      </c>
      <c r="AJ56" s="3">
        <f t="shared" si="136"/>
        <v>47269</v>
      </c>
      <c r="AK56" s="3">
        <f t="shared" si="136"/>
        <v>58557</v>
      </c>
      <c r="AL56" s="3">
        <f t="shared" si="136"/>
        <v>130242</v>
      </c>
      <c r="AM56" s="3">
        <f t="shared" si="136"/>
        <v>76704</v>
      </c>
      <c r="AN56" s="3">
        <f t="shared" si="136"/>
        <v>88276</v>
      </c>
      <c r="AO56" s="3">
        <f t="shared" si="136"/>
        <v>105715</v>
      </c>
      <c r="AP56" s="3">
        <f t="shared" si="136"/>
        <v>118987</v>
      </c>
      <c r="AQ56" s="3">
        <f>119675+13078-4554</f>
        <v>128199</v>
      </c>
      <c r="AR56" s="3">
        <f>136694+20703-13932</f>
        <v>143465</v>
      </c>
      <c r="AS56" s="3">
        <f>+M56</f>
        <v>154381</v>
      </c>
      <c r="AT56" s="3">
        <f>+AT57+AT58+AT61-AT74</f>
        <v>129553</v>
      </c>
      <c r="AU56" s="3">
        <f t="shared" ref="AU56:AV56" si="137">+AU57+AU58+AU61-AU74</f>
        <v>128671</v>
      </c>
      <c r="AV56" s="3">
        <f t="shared" si="137"/>
        <v>122756</v>
      </c>
      <c r="AW56" s="3">
        <f t="shared" ref="AW56:BB56" si="138">+AV56+AW28</f>
        <v>238258.02244300002</v>
      </c>
      <c r="AX56" s="3">
        <f t="shared" si="138"/>
        <v>385469.61492385558</v>
      </c>
      <c r="AY56" s="3">
        <f t="shared" si="138"/>
        <v>570097.94431288796</v>
      </c>
      <c r="AZ56" s="3">
        <f t="shared" si="138"/>
        <v>805596.9807817922</v>
      </c>
      <c r="BA56" s="3">
        <f t="shared" si="138"/>
        <v>1098736.0166094159</v>
      </c>
      <c r="BB56" s="3">
        <f t="shared" si="138"/>
        <v>1464195.5675522373</v>
      </c>
    </row>
    <row r="57" spans="1:54" x14ac:dyDescent="0.25">
      <c r="A57" s="1" t="s">
        <v>4</v>
      </c>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19">
        <v>8656.7000000000007</v>
      </c>
      <c r="AG57" s="19">
        <v>10198</v>
      </c>
      <c r="AH57" s="19">
        <v>13630</v>
      </c>
      <c r="AI57" s="19">
        <v>9983</v>
      </c>
      <c r="AJ57" s="19">
        <v>14778</v>
      </c>
      <c r="AK57" s="19">
        <v>18898</v>
      </c>
      <c r="AL57" s="19">
        <v>36694</v>
      </c>
      <c r="AM57" s="19">
        <v>16549</v>
      </c>
      <c r="AN57" s="19">
        <v>12918</v>
      </c>
      <c r="AO57" s="19">
        <v>10715</v>
      </c>
      <c r="AP57" s="19">
        <v>16701</v>
      </c>
      <c r="AQ57" s="19">
        <v>18498</v>
      </c>
      <c r="AR57" s="19">
        <v>26465</v>
      </c>
      <c r="AS57" s="19">
        <v>20945</v>
      </c>
      <c r="AT57" s="3">
        <v>21879</v>
      </c>
      <c r="AU57" s="3">
        <v>24048</v>
      </c>
      <c r="AV57" s="3">
        <v>23466</v>
      </c>
    </row>
    <row r="58" spans="1:54" x14ac:dyDescent="0.25">
      <c r="A58" s="1" t="s">
        <v>77</v>
      </c>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19">
        <v>7189.1</v>
      </c>
      <c r="AG58" s="19">
        <v>14287</v>
      </c>
      <c r="AH58" s="19">
        <v>22095</v>
      </c>
      <c r="AI58" s="19">
        <v>35388</v>
      </c>
      <c r="AJ58" s="19">
        <v>34010</v>
      </c>
      <c r="AK58" s="19">
        <v>39919</v>
      </c>
      <c r="AL58" s="19">
        <v>93846</v>
      </c>
      <c r="AM58" s="19">
        <v>56967</v>
      </c>
      <c r="AN58" s="19">
        <v>73415</v>
      </c>
      <c r="AO58" s="19">
        <v>91156</v>
      </c>
      <c r="AP58" s="19">
        <v>92439</v>
      </c>
      <c r="AQ58" s="19">
        <v>101177</v>
      </c>
      <c r="AR58" s="19">
        <v>110229</v>
      </c>
      <c r="AS58" s="19">
        <v>118704</v>
      </c>
      <c r="AT58" s="3">
        <v>91883</v>
      </c>
      <c r="AU58" s="3">
        <v>86868</v>
      </c>
      <c r="AV58" s="3">
        <v>72191</v>
      </c>
    </row>
    <row r="59" spans="1:54" x14ac:dyDescent="0.25">
      <c r="A59" s="1" t="s">
        <v>78</v>
      </c>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v>40258</v>
      </c>
      <c r="AU59" s="3">
        <v>47964</v>
      </c>
      <c r="AV59" s="3">
        <v>52340</v>
      </c>
    </row>
    <row r="60" spans="1:54" x14ac:dyDescent="0.25">
      <c r="A60" s="1" t="s">
        <v>79</v>
      </c>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v>10775</v>
      </c>
      <c r="AU60" s="3">
        <v>12650</v>
      </c>
      <c r="AV60" s="3">
        <v>15714</v>
      </c>
    </row>
    <row r="61" spans="1:54" x14ac:dyDescent="0.25">
      <c r="A61" s="1" t="s">
        <v>80</v>
      </c>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19">
        <v>85.2</v>
      </c>
      <c r="AG61" s="19">
        <v>129</v>
      </c>
      <c r="AH61" s="19">
        <v>523</v>
      </c>
      <c r="AI61" s="19">
        <v>790</v>
      </c>
      <c r="AJ61" s="19">
        <v>1469</v>
      </c>
      <c r="AK61" s="19">
        <v>1976</v>
      </c>
      <c r="AL61" s="19">
        <v>6158</v>
      </c>
      <c r="AM61" s="19">
        <v>5183</v>
      </c>
      <c r="AN61" s="19">
        <v>5878</v>
      </c>
      <c r="AO61" s="19">
        <v>7813</v>
      </c>
      <c r="AP61" s="19">
        <v>13859</v>
      </c>
      <c r="AQ61" s="19">
        <v>13078</v>
      </c>
      <c r="AR61" s="19">
        <v>20703</v>
      </c>
      <c r="AS61" s="19">
        <v>29549</v>
      </c>
      <c r="AT61" s="3">
        <v>30492</v>
      </c>
      <c r="AU61" s="3">
        <v>31008</v>
      </c>
      <c r="AV61" s="3">
        <v>37982</v>
      </c>
    </row>
    <row r="62" spans="1:54" x14ac:dyDescent="0.25">
      <c r="A62" s="1" t="s">
        <v>81</v>
      </c>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v>5261</v>
      </c>
      <c r="AU62" s="3">
        <v>12169</v>
      </c>
      <c r="AV62" s="3">
        <v>17180</v>
      </c>
    </row>
    <row r="63" spans="1:54" x14ac:dyDescent="0.25">
      <c r="A63" s="1" t="s">
        <v>82</v>
      </c>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19">
        <v>5233.8</v>
      </c>
      <c r="AG63" s="19">
        <v>4845</v>
      </c>
      <c r="AH63" s="19">
        <v>7759</v>
      </c>
      <c r="AI63" s="19">
        <v>9603</v>
      </c>
      <c r="AJ63" s="19">
        <v>11854</v>
      </c>
      <c r="AK63" s="19">
        <v>16524</v>
      </c>
      <c r="AL63" s="19">
        <v>47766</v>
      </c>
      <c r="AM63" s="19">
        <v>29016</v>
      </c>
      <c r="AN63" s="19">
        <v>34234</v>
      </c>
      <c r="AO63" s="19">
        <v>42383</v>
      </c>
      <c r="AP63" s="19">
        <v>59719</v>
      </c>
      <c r="AQ63" s="19">
        <v>73646</v>
      </c>
      <c r="AR63" s="19">
        <v>84749</v>
      </c>
      <c r="AS63" s="19">
        <v>97599</v>
      </c>
      <c r="AT63" s="3">
        <v>112668</v>
      </c>
      <c r="AU63" s="3">
        <v>134345</v>
      </c>
      <c r="AV63" s="3">
        <v>171036</v>
      </c>
    </row>
    <row r="64" spans="1:54" x14ac:dyDescent="0.25">
      <c r="A64" s="1" t="s">
        <v>83</v>
      </c>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v>14381</v>
      </c>
      <c r="AU64" s="3">
        <v>14091</v>
      </c>
      <c r="AV64" s="3">
        <v>13588</v>
      </c>
    </row>
    <row r="65" spans="1:48" x14ac:dyDescent="0.25">
      <c r="A65" s="1" t="s">
        <v>84</v>
      </c>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v>28960</v>
      </c>
      <c r="AU65" s="3">
        <v>29198</v>
      </c>
      <c r="AV65" s="3">
        <v>31885</v>
      </c>
    </row>
    <row r="66" spans="1:48" x14ac:dyDescent="0.25">
      <c r="A66" s="1" t="s">
        <v>85</v>
      </c>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v>8707</v>
      </c>
      <c r="AU66" s="3">
        <v>10051</v>
      </c>
      <c r="AV66" s="3">
        <v>14874</v>
      </c>
    </row>
    <row r="67" spans="1:48" x14ac:dyDescent="0.25">
      <c r="A67" s="1" t="s">
        <v>86</v>
      </c>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f t="shared" ref="AT67" si="139">+SUM(AT57:AT66)</f>
        <v>365264</v>
      </c>
      <c r="AU67" s="3">
        <f>+SUM(AU57:AU66)</f>
        <v>402392</v>
      </c>
      <c r="AV67" s="3">
        <f t="shared" ref="AV67" si="140">+SUM(AV57:AV66)</f>
        <v>450256</v>
      </c>
    </row>
    <row r="68" spans="1:48" x14ac:dyDescent="0.25">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U68" s="3"/>
      <c r="AV68" s="3"/>
    </row>
    <row r="69" spans="1:48" x14ac:dyDescent="0.25">
      <c r="A69" s="1" t="s">
        <v>87</v>
      </c>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v>5128</v>
      </c>
      <c r="AU69" s="3">
        <v>7493</v>
      </c>
      <c r="AV69" s="3">
        <v>7987</v>
      </c>
    </row>
    <row r="70" spans="1:48" x14ac:dyDescent="0.25">
      <c r="A70" s="1" t="s">
        <v>88</v>
      </c>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v>14028</v>
      </c>
      <c r="AU70" s="3">
        <v>15140</v>
      </c>
      <c r="AV70" s="3">
        <v>15069</v>
      </c>
    </row>
    <row r="71" spans="1:48" x14ac:dyDescent="0.25">
      <c r="A71" s="1" t="s">
        <v>89</v>
      </c>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v>37866</v>
      </c>
      <c r="AU71" s="3">
        <v>46168</v>
      </c>
      <c r="AV71" s="3">
        <v>51228</v>
      </c>
    </row>
    <row r="72" spans="1:48" x14ac:dyDescent="0.25">
      <c r="A72" s="1" t="s">
        <v>90</v>
      </c>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v>8370</v>
      </c>
      <c r="AU72" s="3">
        <v>8876</v>
      </c>
      <c r="AV72" s="3">
        <v>9802</v>
      </c>
    </row>
    <row r="73" spans="1:48" x14ac:dyDescent="0.25">
      <c r="A73" s="1" t="s">
        <v>91</v>
      </c>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v>3908</v>
      </c>
      <c r="AU73" s="3">
        <v>4137</v>
      </c>
      <c r="AV73" s="3">
        <v>5036</v>
      </c>
    </row>
    <row r="74" spans="1:48" x14ac:dyDescent="0.25">
      <c r="A74" s="1" t="s">
        <v>92</v>
      </c>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19">
        <v>0</v>
      </c>
      <c r="AG74" s="19">
        <v>0</v>
      </c>
      <c r="AH74" s="19">
        <v>0</v>
      </c>
      <c r="AI74" s="19">
        <v>2986</v>
      </c>
      <c r="AJ74" s="19">
        <v>2988</v>
      </c>
      <c r="AK74" s="19">
        <v>2236</v>
      </c>
      <c r="AL74" s="19">
        <v>6456</v>
      </c>
      <c r="AM74" s="19">
        <v>1995</v>
      </c>
      <c r="AN74" s="19">
        <v>3935</v>
      </c>
      <c r="AO74" s="19">
        <v>3969</v>
      </c>
      <c r="AP74" s="19">
        <v>4012</v>
      </c>
      <c r="AQ74" s="19">
        <v>4554</v>
      </c>
      <c r="AR74" s="19">
        <v>13932</v>
      </c>
      <c r="AS74" s="19">
        <v>14817</v>
      </c>
      <c r="AT74" s="3">
        <v>14701</v>
      </c>
      <c r="AU74" s="3">
        <v>13253</v>
      </c>
      <c r="AV74" s="3">
        <v>10883</v>
      </c>
    </row>
    <row r="75" spans="1:48" x14ac:dyDescent="0.25">
      <c r="A75" s="1" t="s">
        <v>93</v>
      </c>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v>599</v>
      </c>
      <c r="AU75" s="3">
        <v>911</v>
      </c>
      <c r="AV75" s="3"/>
    </row>
    <row r="76" spans="1:48" x14ac:dyDescent="0.25">
      <c r="A76" s="1" t="s">
        <v>95</v>
      </c>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v>9258</v>
      </c>
      <c r="AU76" s="3">
        <v>8474</v>
      </c>
      <c r="AV76" s="3">
        <v>8782</v>
      </c>
    </row>
    <row r="77" spans="1:48" x14ac:dyDescent="0.25">
      <c r="A77" s="1" t="s">
        <v>81</v>
      </c>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v>514</v>
      </c>
      <c r="AU77" s="3">
        <v>485</v>
      </c>
      <c r="AV77" s="3"/>
    </row>
    <row r="78" spans="1:48" x14ac:dyDescent="0.25">
      <c r="A78" s="1" t="s">
        <v>96</v>
      </c>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v>12501</v>
      </c>
      <c r="AU78" s="3">
        <v>12460</v>
      </c>
      <c r="AV78" s="3">
        <v>11691</v>
      </c>
    </row>
    <row r="79" spans="1:48" x14ac:dyDescent="0.25">
      <c r="A79" s="1" t="s">
        <v>97</v>
      </c>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v>2247</v>
      </c>
      <c r="AU79" s="3">
        <v>1616</v>
      </c>
      <c r="AV79" s="3">
        <v>4694</v>
      </c>
    </row>
    <row r="80" spans="1:48" x14ac:dyDescent="0.25">
      <c r="A80" s="1" t="s">
        <v>98</v>
      </c>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f t="shared" ref="AT80" si="141">+SUM(AT69:AT79)</f>
        <v>109120</v>
      </c>
      <c r="AU80" s="3">
        <f>+SUM(AU69:AU79)</f>
        <v>119013</v>
      </c>
      <c r="AV80" s="3">
        <f t="shared" ref="AV80" si="142">+SUM(AV69:AV79)</f>
        <v>125172</v>
      </c>
    </row>
    <row r="81" spans="1:48" x14ac:dyDescent="0.25">
      <c r="A81" s="1" t="s">
        <v>99</v>
      </c>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f t="shared" ref="AT81" si="143">+AT67-AT80</f>
        <v>256144</v>
      </c>
      <c r="AU81" s="3">
        <f>+AU67-AU80</f>
        <v>283379</v>
      </c>
      <c r="AV81" s="3">
        <f t="shared" ref="AV81" si="144">+AV67-AV80</f>
        <v>325084</v>
      </c>
    </row>
    <row r="82" spans="1:48" x14ac:dyDescent="0.25">
      <c r="A82" s="1" t="s">
        <v>100</v>
      </c>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f t="shared" ref="AT82" si="145">+AT81+AT80</f>
        <v>365264</v>
      </c>
      <c r="AU82" s="3">
        <f>+AU81+AU80</f>
        <v>402392</v>
      </c>
      <c r="AV82" s="3">
        <f t="shared" ref="AV82" si="146">+AV81+AV80</f>
        <v>450256</v>
      </c>
    </row>
    <row r="83" spans="1:48" x14ac:dyDescent="0.25">
      <c r="AV83" s="3"/>
    </row>
    <row r="84" spans="1:48" x14ac:dyDescent="0.25">
      <c r="A84" s="2" t="s">
        <v>145</v>
      </c>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13">
        <f t="shared" ref="AT84:AU84" si="147">+AT28/AT81</f>
        <v>0.24584608657630083</v>
      </c>
      <c r="AU84" s="13">
        <f t="shared" si="147"/>
        <v>0.26041096905557576</v>
      </c>
      <c r="AV84" s="13">
        <f>+AV28/AV81</f>
        <v>0.30852948776316275</v>
      </c>
    </row>
    <row r="85" spans="1:48" x14ac:dyDescent="0.25">
      <c r="AV85" s="3"/>
    </row>
    <row r="86" spans="1:48" x14ac:dyDescent="0.25">
      <c r="A86" s="1" t="s">
        <v>48</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f>+AS28</f>
        <v>76083</v>
      </c>
      <c r="AT86" s="3">
        <v>59972</v>
      </c>
      <c r="AU86" s="3">
        <f>+AU28</f>
        <v>73795</v>
      </c>
      <c r="AV86" s="3">
        <f t="shared" ref="AV86" si="148">+AV28</f>
        <v>100298</v>
      </c>
    </row>
    <row r="87" spans="1:48" x14ac:dyDescent="0.25">
      <c r="A87" s="1" t="s">
        <v>101</v>
      </c>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v>10273</v>
      </c>
      <c r="AT87" s="3">
        <v>13475</v>
      </c>
      <c r="AU87" s="3">
        <v>11946</v>
      </c>
      <c r="AV87" s="3">
        <v>15311</v>
      </c>
    </row>
    <row r="88" spans="1:48" x14ac:dyDescent="0.25">
      <c r="A88" s="1" t="s">
        <v>54</v>
      </c>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v>15376</v>
      </c>
      <c r="AT88" s="3">
        <v>19362</v>
      </c>
      <c r="AU88" s="3">
        <v>22460</v>
      </c>
      <c r="AV88" s="3">
        <v>22785</v>
      </c>
    </row>
    <row r="89" spans="1:48" x14ac:dyDescent="0.25">
      <c r="A89" s="1" t="s">
        <v>102</v>
      </c>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v>1808</v>
      </c>
      <c r="AT89" s="3">
        <v>-8081</v>
      </c>
      <c r="AU89" s="3">
        <v>-7763</v>
      </c>
      <c r="AV89" s="3">
        <v>-5257</v>
      </c>
    </row>
    <row r="90" spans="1:48" x14ac:dyDescent="0.25">
      <c r="A90" s="1" t="s">
        <v>103</v>
      </c>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v>-12270</v>
      </c>
      <c r="AT90" s="3">
        <v>5519</v>
      </c>
      <c r="AU90" s="3">
        <v>823</v>
      </c>
      <c r="AV90" s="3">
        <v>-2671</v>
      </c>
    </row>
    <row r="91" spans="1:48" x14ac:dyDescent="0.25">
      <c r="A91" s="1" t="s">
        <v>104</v>
      </c>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v>1955</v>
      </c>
      <c r="AT91" s="3">
        <v>3483</v>
      </c>
      <c r="AU91" s="3">
        <v>4330</v>
      </c>
      <c r="AV91" s="3">
        <v>3419</v>
      </c>
    </row>
    <row r="92" spans="1:48" x14ac:dyDescent="0.25">
      <c r="A92" s="1" t="s">
        <v>78</v>
      </c>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v>-9095</v>
      </c>
      <c r="AT92" s="3">
        <v>-2317</v>
      </c>
      <c r="AU92" s="3">
        <v>-7833</v>
      </c>
      <c r="AV92" s="3">
        <v>-5891</v>
      </c>
    </row>
    <row r="93" spans="1:48" x14ac:dyDescent="0.25">
      <c r="A93" s="1" t="s">
        <v>94</v>
      </c>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v>-625</v>
      </c>
      <c r="AT93" s="3">
        <v>584</v>
      </c>
      <c r="AU93" s="3">
        <v>523</v>
      </c>
      <c r="AV93" s="3">
        <v>-2418</v>
      </c>
    </row>
    <row r="94" spans="1:48" x14ac:dyDescent="0.25">
      <c r="A94" s="1" t="s">
        <v>105</v>
      </c>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v>-1846</v>
      </c>
      <c r="AT94" s="3">
        <v>-5046</v>
      </c>
      <c r="AU94" s="3">
        <v>-2413</v>
      </c>
      <c r="AV94" s="3">
        <v>-1397</v>
      </c>
    </row>
    <row r="95" spans="1:48" x14ac:dyDescent="0.25">
      <c r="A95" s="1" t="s">
        <v>87</v>
      </c>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v>283</v>
      </c>
      <c r="AT95" s="3">
        <v>707</v>
      </c>
      <c r="AU95" s="3">
        <v>664</v>
      </c>
      <c r="AV95" s="3">
        <v>359</v>
      </c>
    </row>
    <row r="96" spans="1:48" x14ac:dyDescent="0.25">
      <c r="A96" s="1" t="s">
        <v>89</v>
      </c>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v>7304</v>
      </c>
      <c r="AT96" s="3">
        <v>3915</v>
      </c>
      <c r="AU96" s="3">
        <v>3937</v>
      </c>
      <c r="AV96" s="3">
        <v>-1161</v>
      </c>
    </row>
    <row r="97" spans="1:48" x14ac:dyDescent="0.25">
      <c r="A97" s="1" t="s">
        <v>90</v>
      </c>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v>1682</v>
      </c>
      <c r="AT97" s="3">
        <v>-445</v>
      </c>
      <c r="AU97" s="3">
        <v>482</v>
      </c>
      <c r="AV97" s="3">
        <v>1059</v>
      </c>
    </row>
    <row r="98" spans="1:48" x14ac:dyDescent="0.25">
      <c r="A98" s="1" t="s">
        <v>91</v>
      </c>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v>774</v>
      </c>
      <c r="AT98" s="3">
        <v>367</v>
      </c>
      <c r="AU98" s="3">
        <v>525</v>
      </c>
      <c r="AV98" s="3">
        <v>1043</v>
      </c>
    </row>
    <row r="99" spans="1:48" x14ac:dyDescent="0.25">
      <c r="A99" s="2" t="s">
        <v>52</v>
      </c>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f t="shared" ref="AS99:AT99" si="149">+SUM(AS86:AS98)</f>
        <v>91702</v>
      </c>
      <c r="AT99" s="6">
        <f t="shared" si="149"/>
        <v>91495</v>
      </c>
      <c r="AU99" s="6">
        <f>+SUM(AU86:AU98)</f>
        <v>101476</v>
      </c>
      <c r="AV99" s="6">
        <f t="shared" ref="AV99" si="150">+SUM(AV86:AV98)</f>
        <v>125479</v>
      </c>
    </row>
    <row r="100" spans="1:48" x14ac:dyDescent="0.25">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row>
    <row r="101" spans="1:48" x14ac:dyDescent="0.25">
      <c r="A101" s="1" t="s">
        <v>106</v>
      </c>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v>-24640</v>
      </c>
      <c r="AT101" s="3">
        <v>-31485</v>
      </c>
      <c r="AU101" s="3">
        <v>-32251</v>
      </c>
      <c r="AV101" s="3">
        <v>-52535</v>
      </c>
    </row>
    <row r="102" spans="1:48" x14ac:dyDescent="0.25">
      <c r="A102" s="1" t="s">
        <v>107</v>
      </c>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v>-135196</v>
      </c>
      <c r="AT102" s="3">
        <v>-78874</v>
      </c>
      <c r="AU102" s="3">
        <v>-77858</v>
      </c>
      <c r="AV102" s="3">
        <v>-86679</v>
      </c>
    </row>
    <row r="103" spans="1:48" x14ac:dyDescent="0.25">
      <c r="A103" s="1" t="s">
        <v>108</v>
      </c>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v>128294</v>
      </c>
      <c r="AT103" s="3">
        <v>97822</v>
      </c>
      <c r="AU103" s="3">
        <v>86672</v>
      </c>
      <c r="AV103" s="3">
        <v>103428</v>
      </c>
    </row>
    <row r="104" spans="1:48" x14ac:dyDescent="0.25">
      <c r="A104" s="1" t="s">
        <v>109</v>
      </c>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v>-2838</v>
      </c>
      <c r="AT104" s="3">
        <v>-2531</v>
      </c>
      <c r="AU104" s="3">
        <v>-3027</v>
      </c>
      <c r="AV104" s="3">
        <v>-5034</v>
      </c>
    </row>
    <row r="105" spans="1:48" x14ac:dyDescent="0.25">
      <c r="A105" s="1" t="s">
        <v>120</v>
      </c>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v>934</v>
      </c>
      <c r="AT105" s="3">
        <v>150</v>
      </c>
      <c r="AU105" s="3">
        <v>947</v>
      </c>
      <c r="AV105" s="3">
        <v>882</v>
      </c>
    </row>
    <row r="106" spans="1:48" x14ac:dyDescent="0.25">
      <c r="A106" s="1" t="s">
        <v>110</v>
      </c>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v>-2618</v>
      </c>
      <c r="AT106" s="3">
        <v>-6969</v>
      </c>
      <c r="AU106" s="3">
        <v>-495</v>
      </c>
      <c r="AV106" s="3">
        <v>-2931</v>
      </c>
    </row>
    <row r="107" spans="1:48" x14ac:dyDescent="0.25">
      <c r="A107" s="1" t="s">
        <v>111</v>
      </c>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v>541</v>
      </c>
      <c r="AT107" s="3">
        <v>1589</v>
      </c>
      <c r="AU107" s="3">
        <v>-1051</v>
      </c>
      <c r="AV107" s="3">
        <v>-2667</v>
      </c>
    </row>
    <row r="108" spans="1:48" x14ac:dyDescent="0.25">
      <c r="A108" s="2" t="s">
        <v>112</v>
      </c>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f t="shared" ref="AS108:AT108" si="151">+SUM(AS101:AS107)</f>
        <v>-35523</v>
      </c>
      <c r="AT108" s="6">
        <f t="shared" si="151"/>
        <v>-20298</v>
      </c>
      <c r="AU108" s="6">
        <f>+SUM(AU101:AU107)</f>
        <v>-27063</v>
      </c>
      <c r="AV108" s="6">
        <f t="shared" ref="AV108" si="152">+SUM(AV101:AV107)</f>
        <v>-45536</v>
      </c>
    </row>
    <row r="109" spans="1:48" x14ac:dyDescent="0.25">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row>
    <row r="110" spans="1:48" x14ac:dyDescent="0.25">
      <c r="A110" s="1" t="s">
        <v>113</v>
      </c>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v>-10162</v>
      </c>
      <c r="AT110" s="3">
        <v>-9300</v>
      </c>
      <c r="AU110" s="3">
        <v>-9837</v>
      </c>
      <c r="AV110" s="3">
        <v>-12190</v>
      </c>
    </row>
    <row r="111" spans="1:48" x14ac:dyDescent="0.25">
      <c r="A111" s="1" t="s">
        <v>114</v>
      </c>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v>-50274</v>
      </c>
      <c r="AT111" s="3">
        <v>-59296</v>
      </c>
      <c r="AU111" s="3">
        <v>-61504</v>
      </c>
      <c r="AV111" s="3">
        <v>-62222</v>
      </c>
    </row>
    <row r="112" spans="1:48" x14ac:dyDescent="0.25">
      <c r="A112" s="1" t="s">
        <v>144</v>
      </c>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v>-7363</v>
      </c>
    </row>
    <row r="113" spans="1:54" x14ac:dyDescent="0.25">
      <c r="A113" s="1" t="s">
        <v>115</v>
      </c>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v>20199</v>
      </c>
      <c r="AT113" s="3">
        <v>52872</v>
      </c>
      <c r="AU113" s="3">
        <v>10790</v>
      </c>
      <c r="AV113" s="3">
        <v>13589</v>
      </c>
    </row>
    <row r="114" spans="1:54" x14ac:dyDescent="0.25">
      <c r="A114" s="1" t="s">
        <v>116</v>
      </c>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v>-21435</v>
      </c>
      <c r="AT114" s="3">
        <v>-54068</v>
      </c>
      <c r="AU114" s="3">
        <v>-11550</v>
      </c>
      <c r="AV114" s="3">
        <v>-12701</v>
      </c>
    </row>
    <row r="115" spans="1:54" x14ac:dyDescent="0.25">
      <c r="A115" s="1" t="s">
        <v>117</v>
      </c>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v>310</v>
      </c>
      <c r="AT115" s="3">
        <v>35</v>
      </c>
      <c r="AU115" s="3">
        <v>8</v>
      </c>
      <c r="AV115" s="3">
        <v>1154</v>
      </c>
    </row>
    <row r="116" spans="1:54" x14ac:dyDescent="0.25">
      <c r="A116" s="2" t="s">
        <v>118</v>
      </c>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f t="shared" ref="AS116:AT116" si="153">+SUM(AS110:AS115)</f>
        <v>-61362</v>
      </c>
      <c r="AT116" s="6">
        <f t="shared" si="153"/>
        <v>-69757</v>
      </c>
      <c r="AU116" s="6">
        <f>+SUM(AU110:AU115)</f>
        <v>-72093</v>
      </c>
      <c r="AV116" s="6">
        <f t="shared" ref="AV116" si="154">+SUM(AV110:AV115)</f>
        <v>-79733</v>
      </c>
    </row>
    <row r="117" spans="1:54" x14ac:dyDescent="0.25">
      <c r="A117" s="1" t="s">
        <v>119</v>
      </c>
      <c r="AS117" s="1">
        <v>-287</v>
      </c>
      <c r="AT117" s="1">
        <v>-506</v>
      </c>
      <c r="AU117" s="1">
        <v>-421</v>
      </c>
      <c r="AV117" s="3">
        <v>-612</v>
      </c>
    </row>
    <row r="118" spans="1:54" x14ac:dyDescent="0.25">
      <c r="A118" s="1" t="s">
        <v>138</v>
      </c>
      <c r="AS118" s="3">
        <f t="shared" ref="AS118:AT118" si="155">+AS99+AS108+AS116+AS117</f>
        <v>-5470</v>
      </c>
      <c r="AT118" s="3">
        <f t="shared" si="155"/>
        <v>934</v>
      </c>
      <c r="AU118" s="3">
        <f>+AU99+AU108+AU116+AU117</f>
        <v>1899</v>
      </c>
      <c r="AV118" s="3">
        <f t="shared" ref="AV118" si="156">+AV99+AV108+AV116+AV117</f>
        <v>-402</v>
      </c>
    </row>
    <row r="120" spans="1:54" x14ac:dyDescent="0.25">
      <c r="A120" s="1" t="s">
        <v>134</v>
      </c>
      <c r="AF120" s="7">
        <f t="shared" ref="AF120:AP120" si="157">+(AF24-AE24)/(AF16-AE16)</f>
        <v>0.29750096116878133</v>
      </c>
      <c r="AG120" s="7">
        <f t="shared" si="157"/>
        <v>0.90566037735849059</v>
      </c>
      <c r="AH120" s="7">
        <f t="shared" si="157"/>
        <v>0.36490299823633154</v>
      </c>
      <c r="AI120" s="7">
        <f t="shared" si="157"/>
        <v>0.15855079217148182</v>
      </c>
      <c r="AJ120" s="7">
        <f t="shared" si="157"/>
        <v>0.25719203343988195</v>
      </c>
      <c r="AK120" s="7">
        <f t="shared" si="157"/>
        <v>0.16550632911392404</v>
      </c>
      <c r="AL120" s="7">
        <f t="shared" si="157"/>
        <v>0.10427399351268841</v>
      </c>
      <c r="AM120" s="7">
        <f t="shared" si="157"/>
        <v>0.31864708500222522</v>
      </c>
      <c r="AN120" s="7">
        <f t="shared" si="157"/>
        <v>0.28502257410194332</v>
      </c>
      <c r="AO120" s="7">
        <f t="shared" si="157"/>
        <v>0.11961327308944275</v>
      </c>
      <c r="AP120" s="7">
        <f t="shared" si="157"/>
        <v>5.1841010630103219E-2</v>
      </c>
      <c r="AQ120" s="7">
        <f>+(AQ24-AP24)/(AQ16-AP16)</f>
        <v>0.14805495646617142</v>
      </c>
      <c r="AR120" s="7">
        <f t="shared" ref="AR120:BB120" si="158">+(AR24-AQ24)/(AR16-AQ16)</f>
        <v>0.4834542815674891</v>
      </c>
      <c r="AS120" s="7">
        <f t="shared" si="158"/>
        <v>0.49980029290374117</v>
      </c>
      <c r="AT120" s="7">
        <f t="shared" si="158"/>
        <v>-3.658875352196516E-2</v>
      </c>
      <c r="AU120" s="7">
        <f t="shared" si="158"/>
        <v>0.26268425767570647</v>
      </c>
      <c r="AV120" s="7">
        <f>+(AV24-AU24)/(AV16-AU16)</f>
        <v>0.6634055930930931</v>
      </c>
      <c r="AW120" s="7">
        <f t="shared" si="158"/>
        <v>0.33489729784197908</v>
      </c>
      <c r="AX120" s="7">
        <f>+(AX24-AW24)/(AX16-AW16)</f>
        <v>0.45000884663533375</v>
      </c>
      <c r="AY120" s="7">
        <f t="shared" si="158"/>
        <v>0.45134884160729011</v>
      </c>
      <c r="AZ120" s="7">
        <f t="shared" si="158"/>
        <v>0.55432171641604311</v>
      </c>
      <c r="BA120" s="7">
        <f t="shared" si="158"/>
        <v>0.47096545906659287</v>
      </c>
      <c r="BB120" s="7">
        <f t="shared" si="158"/>
        <v>0.47829503435358006</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73F73-79DA-4089-A75F-6915873B224C}">
  <dimension ref="B2:J22"/>
  <sheetViews>
    <sheetView workbookViewId="0">
      <selection activeCell="C4" sqref="C4"/>
    </sheetView>
  </sheetViews>
  <sheetFormatPr defaultColWidth="9.109375" defaultRowHeight="13.2" x14ac:dyDescent="0.25"/>
  <cols>
    <col min="1" max="1" width="9.109375" style="1"/>
    <col min="2" max="2" width="12.6640625" style="1" bestFit="1" customWidth="1"/>
    <col min="3" max="3" width="13.109375" style="1" bestFit="1" customWidth="1"/>
    <col min="4" max="7" width="9.109375" style="1"/>
    <col min="8" max="8" width="18.88671875" style="1" bestFit="1" customWidth="1"/>
    <col min="9" max="16384" width="9.109375" style="1"/>
  </cols>
  <sheetData>
    <row r="2" spans="2:10" x14ac:dyDescent="0.25">
      <c r="B2" s="1" t="s">
        <v>149</v>
      </c>
      <c r="C2" s="14" t="s">
        <v>151</v>
      </c>
      <c r="D2" s="14" t="s">
        <v>152</v>
      </c>
      <c r="E2" s="14" t="s">
        <v>153</v>
      </c>
      <c r="H2" s="1" t="s">
        <v>164</v>
      </c>
      <c r="I2" s="1" t="s">
        <v>165</v>
      </c>
      <c r="J2" s="1" t="s">
        <v>166</v>
      </c>
    </row>
    <row r="3" spans="2:10" x14ac:dyDescent="0.25">
      <c r="B3" s="1" t="s">
        <v>150</v>
      </c>
      <c r="C3" s="1">
        <v>0.2</v>
      </c>
      <c r="D3" s="1">
        <f>+C3*4</f>
        <v>0.8</v>
      </c>
      <c r="E3" s="1">
        <f>+D3*12</f>
        <v>9.6000000000000014</v>
      </c>
      <c r="H3" s="15">
        <v>15</v>
      </c>
      <c r="I3" s="1">
        <f>+H3*$E$3</f>
        <v>144.00000000000003</v>
      </c>
      <c r="J3" s="1">
        <f>+H3*$E$4</f>
        <v>720</v>
      </c>
    </row>
    <row r="4" spans="2:10" x14ac:dyDescent="0.25">
      <c r="C4" s="1">
        <v>1</v>
      </c>
      <c r="D4" s="1">
        <f t="shared" ref="D4" si="0">+C4*4</f>
        <v>4</v>
      </c>
      <c r="E4" s="1">
        <f t="shared" ref="E4" si="1">+D4*12</f>
        <v>48</v>
      </c>
      <c r="H4" s="15">
        <v>20</v>
      </c>
      <c r="I4" s="1">
        <f t="shared" ref="I4:I5" si="2">+H4*$E$3</f>
        <v>192.00000000000003</v>
      </c>
      <c r="J4" s="1">
        <f t="shared" ref="J4:J5" si="3">+H4*$E$4</f>
        <v>960</v>
      </c>
    </row>
    <row r="5" spans="2:10" x14ac:dyDescent="0.25">
      <c r="H5" s="15">
        <v>25</v>
      </c>
      <c r="I5" s="1">
        <f t="shared" si="2"/>
        <v>240.00000000000003</v>
      </c>
      <c r="J5" s="1">
        <f t="shared" si="3"/>
        <v>1200</v>
      </c>
    </row>
    <row r="6" spans="2:10" x14ac:dyDescent="0.25">
      <c r="B6" s="1" t="s">
        <v>154</v>
      </c>
    </row>
    <row r="7" spans="2:10" x14ac:dyDescent="0.25">
      <c r="C7" s="1" t="s">
        <v>155</v>
      </c>
      <c r="D7" s="1">
        <v>4.9459999999999997</v>
      </c>
    </row>
    <row r="8" spans="2:10" x14ac:dyDescent="0.25">
      <c r="C8" s="1" t="s">
        <v>156</v>
      </c>
      <c r="D8" s="1">
        <v>4.6230000000000002</v>
      </c>
    </row>
    <row r="9" spans="2:10" x14ac:dyDescent="0.25">
      <c r="C9" s="1" t="s">
        <v>157</v>
      </c>
      <c r="D9" s="1">
        <v>12.997</v>
      </c>
    </row>
    <row r="10" spans="2:10" x14ac:dyDescent="0.25">
      <c r="C10" s="1" t="s">
        <v>158</v>
      </c>
      <c r="D10" s="1">
        <v>2.3519999999999999</v>
      </c>
    </row>
    <row r="12" spans="2:10" x14ac:dyDescent="0.25">
      <c r="B12" s="1" t="s">
        <v>159</v>
      </c>
    </row>
    <row r="13" spans="2:10" x14ac:dyDescent="0.25">
      <c r="C13" s="1" t="s">
        <v>160</v>
      </c>
      <c r="D13" s="1">
        <v>6.1440000000000001</v>
      </c>
    </row>
    <row r="14" spans="2:10" x14ac:dyDescent="0.25">
      <c r="C14" s="1" t="s">
        <v>161</v>
      </c>
      <c r="D14" s="1">
        <v>6.0910000000000002</v>
      </c>
    </row>
    <row r="16" spans="2:10" x14ac:dyDescent="0.25">
      <c r="C16" s="1" t="s">
        <v>162</v>
      </c>
      <c r="D16" s="1">
        <f>+SUM(D7:D14)</f>
        <v>37.152999999999999</v>
      </c>
    </row>
    <row r="18" spans="2:4" x14ac:dyDescent="0.25">
      <c r="B18" s="1" t="s">
        <v>167</v>
      </c>
    </row>
    <row r="19" spans="2:4" x14ac:dyDescent="0.25">
      <c r="C19" s="1" t="s">
        <v>168</v>
      </c>
      <c r="D19" s="17">
        <v>38</v>
      </c>
    </row>
    <row r="20" spans="2:4" x14ac:dyDescent="0.25">
      <c r="C20" s="1" t="s">
        <v>171</v>
      </c>
      <c r="D20" s="17">
        <v>2.2270530000000002</v>
      </c>
    </row>
    <row r="21" spans="2:4" x14ac:dyDescent="0.25">
      <c r="C21" s="1" t="s">
        <v>172</v>
      </c>
      <c r="D21" s="17">
        <v>3.276208</v>
      </c>
    </row>
    <row r="22" spans="2:4" x14ac:dyDescent="0.25">
      <c r="C22" s="1" t="s">
        <v>169</v>
      </c>
      <c r="D22" s="17">
        <v>20.100000000000001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model</vt:lpstr>
      <vt:lpstr>waymo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alexandreduartemorais@gmail.com</dc:creator>
  <cp:lastModifiedBy>Alexandre Duarte Morais</cp:lastModifiedBy>
  <dcterms:created xsi:type="dcterms:W3CDTF">2024-07-27T11:06:34Z</dcterms:created>
  <dcterms:modified xsi:type="dcterms:W3CDTF">2025-04-03T17:22:20Z</dcterms:modified>
</cp:coreProperties>
</file>