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hdisegutl-my.sharepoint.com/personal/l59357_aln_iseg_ulisboa_pt/Documents/Models/"/>
    </mc:Choice>
  </mc:AlternateContent>
  <xr:revisionPtr revIDLastSave="297" documentId="8_{87909634-043E-48C4-BBEB-5D6B72E5FF0C}" xr6:coauthVersionLast="47" xr6:coauthVersionMax="47" xr10:uidLastSave="{9CFDD063-3C51-4841-B8D3-16F114219224}"/>
  <bookViews>
    <workbookView xWindow="-108" yWindow="-108" windowWidth="23256" windowHeight="12456" activeTab="1" xr2:uid="{390B1664-8D2A-4A51-A442-23E2E055C99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9" i="2" l="1"/>
  <c r="S29" i="2"/>
  <c r="B7" i="1"/>
  <c r="B4" i="1"/>
  <c r="B3" i="1"/>
  <c r="C5" i="1"/>
  <c r="B6" i="1"/>
  <c r="B5" i="1"/>
  <c r="R35" i="2"/>
  <c r="Q35" i="2"/>
  <c r="P35" i="2"/>
  <c r="S28" i="2"/>
  <c r="T28" i="2" s="1"/>
  <c r="C31" i="1"/>
  <c r="C36" i="1"/>
  <c r="C35" i="1"/>
  <c r="C34" i="1"/>
  <c r="C33" i="1"/>
  <c r="C32" i="1"/>
  <c r="B37" i="1"/>
  <c r="P6" i="2"/>
  <c r="R6" i="2"/>
  <c r="Q6" i="2"/>
  <c r="U28" i="2" l="1"/>
  <c r="V28" i="2" s="1"/>
  <c r="T31" i="2"/>
  <c r="S31" i="2"/>
  <c r="U31" i="2" l="1"/>
  <c r="M29" i="2"/>
  <c r="L29" i="2"/>
  <c r="K29" i="2"/>
  <c r="J29" i="2"/>
  <c r="I29" i="2"/>
  <c r="H29" i="2"/>
  <c r="G29" i="2"/>
  <c r="F29" i="2"/>
  <c r="R31" i="2"/>
  <c r="R11" i="2"/>
  <c r="S11" i="2" s="1"/>
  <c r="T11" i="2" s="1"/>
  <c r="U11" i="2" s="1"/>
  <c r="V11" i="2" s="1"/>
  <c r="W11" i="2" s="1"/>
  <c r="X11" i="2" s="1"/>
  <c r="Y11" i="2" s="1"/>
  <c r="R10" i="2"/>
  <c r="S10" i="2" s="1"/>
  <c r="T10" i="2" s="1"/>
  <c r="U10" i="2" s="1"/>
  <c r="V10" i="2" s="1"/>
  <c r="W10" i="2" s="1"/>
  <c r="X10" i="2" s="1"/>
  <c r="Y10" i="2" s="1"/>
  <c r="R9" i="2"/>
  <c r="R7" i="2"/>
  <c r="S7" i="2" s="1"/>
  <c r="T7" i="2" s="1"/>
  <c r="U7" i="2" s="1"/>
  <c r="V7" i="2" s="1"/>
  <c r="W7" i="2" s="1"/>
  <c r="X7" i="2" s="1"/>
  <c r="Y7" i="2" s="1"/>
  <c r="Q11" i="2"/>
  <c r="Q10" i="2"/>
  <c r="Q9" i="2"/>
  <c r="Q7" i="2"/>
  <c r="Q8" i="2"/>
  <c r="Q22" i="2" s="1"/>
  <c r="P12" i="2"/>
  <c r="P8" i="2"/>
  <c r="P22" i="2" s="1"/>
  <c r="Q1" i="2"/>
  <c r="R1" i="2" s="1"/>
  <c r="S1" i="2" s="1"/>
  <c r="T1" i="2" s="1"/>
  <c r="U1" i="2" s="1"/>
  <c r="V1" i="2" s="1"/>
  <c r="W1" i="2" s="1"/>
  <c r="X1" i="2" s="1"/>
  <c r="Y1" i="2" s="1"/>
  <c r="J31" i="2"/>
  <c r="L31" i="2"/>
  <c r="K31" i="2"/>
  <c r="M31" i="2"/>
  <c r="L25" i="2"/>
  <c r="K25" i="2"/>
  <c r="J25" i="2"/>
  <c r="M25" i="2"/>
  <c r="I20" i="2"/>
  <c r="M20" i="2"/>
  <c r="I15" i="2"/>
  <c r="I14" i="2"/>
  <c r="M15" i="2"/>
  <c r="M14" i="2"/>
  <c r="L12" i="2"/>
  <c r="K12" i="2"/>
  <c r="J12" i="2"/>
  <c r="I12" i="2"/>
  <c r="H12" i="2"/>
  <c r="G12" i="2"/>
  <c r="F12" i="2"/>
  <c r="E12" i="2"/>
  <c r="D12" i="2"/>
  <c r="C12" i="2"/>
  <c r="B12" i="2"/>
  <c r="M12" i="2"/>
  <c r="L8" i="2"/>
  <c r="K8" i="2"/>
  <c r="J8" i="2"/>
  <c r="J22" i="2" s="1"/>
  <c r="I8" i="2"/>
  <c r="I22" i="2" s="1"/>
  <c r="H8" i="2"/>
  <c r="G8" i="2"/>
  <c r="F8" i="2"/>
  <c r="E8" i="2"/>
  <c r="D8" i="2"/>
  <c r="C8" i="2"/>
  <c r="B8" i="2"/>
  <c r="M8" i="2"/>
  <c r="R12" i="2" l="1"/>
  <c r="S9" i="2"/>
  <c r="B13" i="2"/>
  <c r="B16" i="2" s="1"/>
  <c r="C13" i="2"/>
  <c r="C16" i="2" s="1"/>
  <c r="U15" i="2"/>
  <c r="T15" i="2"/>
  <c r="S15" i="2"/>
  <c r="X15" i="2"/>
  <c r="Y15" i="2"/>
  <c r="AB5" i="2"/>
  <c r="W15" i="2"/>
  <c r="V15" i="2"/>
  <c r="W28" i="2"/>
  <c r="V31" i="2"/>
  <c r="D13" i="2"/>
  <c r="D16" i="2" s="1"/>
  <c r="R25" i="2"/>
  <c r="M13" i="2"/>
  <c r="M23" i="2" s="1"/>
  <c r="Q29" i="2"/>
  <c r="R29" i="2"/>
  <c r="U29" i="2" s="1"/>
  <c r="V29" i="2" s="1"/>
  <c r="W29" i="2" s="1"/>
  <c r="X29" i="2" s="1"/>
  <c r="Y29" i="2" s="1"/>
  <c r="E13" i="2"/>
  <c r="E16" i="2" s="1"/>
  <c r="M22" i="2"/>
  <c r="Q12" i="2"/>
  <c r="Q13" i="2" s="1"/>
  <c r="R8" i="2"/>
  <c r="P13" i="2"/>
  <c r="P23" i="2" s="1"/>
  <c r="F13" i="2"/>
  <c r="F16" i="2" s="1"/>
  <c r="J13" i="2"/>
  <c r="J16" i="2" s="1"/>
  <c r="G13" i="2"/>
  <c r="G16" i="2" s="1"/>
  <c r="K13" i="2"/>
  <c r="K16" i="2" s="1"/>
  <c r="K22" i="2"/>
  <c r="H13" i="2"/>
  <c r="H16" i="2" s="1"/>
  <c r="L13" i="2"/>
  <c r="L16" i="2" s="1"/>
  <c r="L22" i="2"/>
  <c r="I13" i="2"/>
  <c r="T9" i="2" l="1"/>
  <c r="S12" i="2"/>
  <c r="Q23" i="2"/>
  <c r="Q16" i="2"/>
  <c r="X28" i="2"/>
  <c r="W31" i="2"/>
  <c r="M16" i="2"/>
  <c r="S6" i="2"/>
  <c r="I23" i="2"/>
  <c r="I16" i="2"/>
  <c r="R13" i="2"/>
  <c r="R22" i="2"/>
  <c r="J23" i="2"/>
  <c r="K23" i="2"/>
  <c r="L23" i="2"/>
  <c r="Q17" i="2" l="1"/>
  <c r="Q18" i="2"/>
  <c r="R23" i="2"/>
  <c r="R16" i="2"/>
  <c r="U9" i="2"/>
  <c r="T12" i="2"/>
  <c r="Y28" i="2"/>
  <c r="Y31" i="2" s="1"/>
  <c r="X31" i="2"/>
  <c r="S8" i="2"/>
  <c r="S25" i="2"/>
  <c r="T6" i="2"/>
  <c r="V9" i="2" l="1"/>
  <c r="U12" i="2"/>
  <c r="R17" i="2"/>
  <c r="R18" i="2" s="1"/>
  <c r="T25" i="2"/>
  <c r="T8" i="2"/>
  <c r="S13" i="2"/>
  <c r="S22" i="2"/>
  <c r="U6" i="2"/>
  <c r="W9" i="2" l="1"/>
  <c r="V12" i="2"/>
  <c r="U25" i="2"/>
  <c r="U8" i="2"/>
  <c r="S23" i="2"/>
  <c r="S16" i="2"/>
  <c r="T13" i="2"/>
  <c r="T22" i="2"/>
  <c r="V6" i="2"/>
  <c r="X9" i="2" l="1"/>
  <c r="W12" i="2"/>
  <c r="V8" i="2"/>
  <c r="V25" i="2"/>
  <c r="T16" i="2"/>
  <c r="T23" i="2"/>
  <c r="S17" i="2"/>
  <c r="S18" i="2" s="1"/>
  <c r="U22" i="2"/>
  <c r="U13" i="2"/>
  <c r="W6" i="2"/>
  <c r="Y9" i="2" l="1"/>
  <c r="Y12" i="2" s="1"/>
  <c r="X12" i="2"/>
  <c r="T17" i="2"/>
  <c r="T18" i="2" s="1"/>
  <c r="U23" i="2"/>
  <c r="U16" i="2"/>
  <c r="W25" i="2"/>
  <c r="W8" i="2"/>
  <c r="V22" i="2"/>
  <c r="V13" i="2"/>
  <c r="Y6" i="2"/>
  <c r="X6" i="2"/>
  <c r="X25" i="2" l="1"/>
  <c r="X8" i="2"/>
  <c r="Y25" i="2"/>
  <c r="Y8" i="2"/>
  <c r="V23" i="2"/>
  <c r="V16" i="2"/>
  <c r="W13" i="2"/>
  <c r="W22" i="2"/>
  <c r="U17" i="2"/>
  <c r="U18" i="2" s="1"/>
  <c r="V17" i="2" l="1"/>
  <c r="V18" i="2" s="1"/>
  <c r="W23" i="2"/>
  <c r="W16" i="2"/>
  <c r="Y13" i="2"/>
  <c r="Y22" i="2"/>
  <c r="X22" i="2"/>
  <c r="X13" i="2"/>
  <c r="X16" i="2" l="1"/>
  <c r="X23" i="2"/>
  <c r="Y23" i="2"/>
  <c r="Y16" i="2"/>
  <c r="W17" i="2"/>
  <c r="W18" i="2" s="1"/>
  <c r="X17" i="2" l="1"/>
  <c r="X18" i="2" s="1"/>
  <c r="Y17" i="2"/>
  <c r="Y18" i="2" s="1"/>
  <c r="Z18" i="2" s="1"/>
  <c r="AA18" i="2" s="1"/>
  <c r="AB18" i="2" s="1"/>
  <c r="AC18" i="2" s="1"/>
  <c r="AD18" i="2" s="1"/>
  <c r="AE18" i="2" s="1"/>
  <c r="AF18" i="2" s="1"/>
  <c r="AG18" i="2" s="1"/>
  <c r="AH18" i="2" s="1"/>
  <c r="AI18" i="2" s="1"/>
  <c r="AJ18" i="2" s="1"/>
  <c r="AK18" i="2" s="1"/>
  <c r="AL18" i="2" s="1"/>
  <c r="AM18" i="2" s="1"/>
  <c r="AN18" i="2" s="1"/>
  <c r="AO18" i="2" s="1"/>
  <c r="AP18" i="2" s="1"/>
  <c r="AQ18" i="2" s="1"/>
  <c r="AR18" i="2" s="1"/>
  <c r="AS18" i="2" s="1"/>
  <c r="AT18" i="2" s="1"/>
  <c r="AU18" i="2" s="1"/>
  <c r="AV18" i="2" s="1"/>
  <c r="AW18" i="2" s="1"/>
  <c r="AX18" i="2" s="1"/>
  <c r="AY18" i="2" s="1"/>
  <c r="AZ18" i="2" s="1"/>
  <c r="BA18" i="2" s="1"/>
  <c r="BB18" i="2" s="1"/>
  <c r="BC18" i="2" s="1"/>
  <c r="BD18" i="2" s="1"/>
  <c r="BE18" i="2" s="1"/>
  <c r="BF18" i="2" s="1"/>
  <c r="BG18" i="2" s="1"/>
  <c r="BH18" i="2" s="1"/>
  <c r="BI18" i="2" s="1"/>
  <c r="BJ18" i="2" s="1"/>
  <c r="BK18" i="2" s="1"/>
  <c r="BL18" i="2" s="1"/>
  <c r="BM18" i="2" s="1"/>
  <c r="BN18" i="2" s="1"/>
  <c r="BO18" i="2" s="1"/>
  <c r="BP18" i="2" s="1"/>
  <c r="BQ18" i="2" s="1"/>
  <c r="BR18" i="2" s="1"/>
  <c r="BS18" i="2" s="1"/>
  <c r="BT18" i="2" s="1"/>
  <c r="BU18" i="2" s="1"/>
  <c r="BV18" i="2" s="1"/>
  <c r="BW18" i="2" s="1"/>
  <c r="BX18" i="2" s="1"/>
  <c r="BY18" i="2" s="1"/>
  <c r="BZ18" i="2" s="1"/>
  <c r="CA18" i="2" s="1"/>
  <c r="CB18" i="2" s="1"/>
  <c r="CC18" i="2" s="1"/>
  <c r="CD18" i="2" s="1"/>
  <c r="CE18" i="2" s="1"/>
  <c r="CF18" i="2" s="1"/>
  <c r="CG18" i="2" s="1"/>
  <c r="CH18" i="2" s="1"/>
  <c r="CI18" i="2" s="1"/>
  <c r="CJ18" i="2" s="1"/>
  <c r="CK18" i="2" s="1"/>
  <c r="CL18" i="2" s="1"/>
  <c r="CM18" i="2" s="1"/>
  <c r="CN18" i="2" s="1"/>
  <c r="AB4" i="2" l="1"/>
  <c r="AB6" i="2" s="1"/>
  <c r="AB8" i="2" s="1"/>
</calcChain>
</file>

<file path=xl/sharedStrings.xml><?xml version="1.0" encoding="utf-8"?>
<sst xmlns="http://schemas.openxmlformats.org/spreadsheetml/2006/main" count="77" uniqueCount="75">
  <si>
    <t xml:space="preserve">ticket </t>
  </si>
  <si>
    <t>grab</t>
  </si>
  <si>
    <t>price</t>
  </si>
  <si>
    <t>shares</t>
  </si>
  <si>
    <t>mc</t>
  </si>
  <si>
    <t>cash</t>
  </si>
  <si>
    <t>debt</t>
  </si>
  <si>
    <t>ev</t>
  </si>
  <si>
    <t>-Serving over 500 cities in eight Southeast Asian countries – Cambodia, Indonesia, Malaysia, Myanmar, the Philippines, Singapore, Thailand and Vietnam</t>
  </si>
  <si>
    <t>-Grab is a leading superapp in Southeast Asia, operating across the deliveries, mobility and digital financial services sectors.</t>
  </si>
  <si>
    <t>- Uber of South east asia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</si>
  <si>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</si>
  <si>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</si>
  <si>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</si>
  <si>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</si>
  <si>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</si>
  <si>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</si>
  <si>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</si>
  <si>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</si>
  <si>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</si>
  <si>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</si>
  <si>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</si>
  <si>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</si>
  <si>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Revenue</t>
  </si>
  <si>
    <t>Cost of revenue</t>
  </si>
  <si>
    <t>Gross Profit</t>
  </si>
  <si>
    <t>S&amp;M</t>
  </si>
  <si>
    <t>G&amp;A</t>
  </si>
  <si>
    <t>R&amp;D</t>
  </si>
  <si>
    <t>Total Opex</t>
  </si>
  <si>
    <t>Operating Income</t>
  </si>
  <si>
    <t>Other income</t>
  </si>
  <si>
    <t>Net Interest</t>
  </si>
  <si>
    <t>Pretax Income</t>
  </si>
  <si>
    <t xml:space="preserve">Taxes </t>
  </si>
  <si>
    <t>Net Income</t>
  </si>
  <si>
    <t>net cash</t>
  </si>
  <si>
    <t>Gross Margin</t>
  </si>
  <si>
    <t>Operating Margin</t>
  </si>
  <si>
    <t>Revenue Y/Y</t>
  </si>
  <si>
    <t>GMV</t>
  </si>
  <si>
    <t>MTUs</t>
  </si>
  <si>
    <t>MTUs Y/Y</t>
  </si>
  <si>
    <t>Revenue per MTU</t>
  </si>
  <si>
    <t>-Offers digital banking services….. GXS Bank in Singapore and GXBank in Malaysia</t>
  </si>
  <si>
    <t>Deliveries</t>
  </si>
  <si>
    <t>Mobility</t>
  </si>
  <si>
    <t>Financial Services</t>
  </si>
  <si>
    <t xml:space="preserve">Enterprise </t>
  </si>
  <si>
    <t>Revenue by geo</t>
  </si>
  <si>
    <t>Singapore</t>
  </si>
  <si>
    <t xml:space="preserve">Malaysia </t>
  </si>
  <si>
    <t>Indonesia</t>
  </si>
  <si>
    <t>Philippines</t>
  </si>
  <si>
    <t xml:space="preserve">Thailand </t>
  </si>
  <si>
    <t>Others</t>
  </si>
  <si>
    <t>Total</t>
  </si>
  <si>
    <t>%</t>
  </si>
  <si>
    <t>Discount</t>
  </si>
  <si>
    <t>Maturiy</t>
  </si>
  <si>
    <t>NPV</t>
  </si>
  <si>
    <t>Net cash</t>
  </si>
  <si>
    <t>EV</t>
  </si>
  <si>
    <t>CFFO</t>
  </si>
  <si>
    <t>CAPEX</t>
  </si>
  <si>
    <t>FCF</t>
  </si>
  <si>
    <t>SBC</t>
  </si>
  <si>
    <t>employees</t>
  </si>
  <si>
    <t>Principal Shareholders</t>
  </si>
  <si>
    <t>SVF entities</t>
  </si>
  <si>
    <t>Uber Technologies</t>
  </si>
  <si>
    <t>Toyota Motor Group</t>
  </si>
  <si>
    <t>Morgan Stanley</t>
  </si>
  <si>
    <t>Didi Chuxing</t>
  </si>
  <si>
    <t>Anthony Tan Ping Yeow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</si>
</sst>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0.0%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9" fontId="0" fillId="0" borderId="0" xfId="0" applyNumberFormat="1"/>
    <xf numFmtId="10" fontId="0" fillId="0" borderId="0" xfId="0" applyNumberFormat="1"/>
    <xf numFmtId="0" fontId="1" fillId="0" borderId="0" xfId="0" applyFont="1"/>
    <xf numFmtId="0" fontId="2" fillId="0" borderId="0" xfId="0" applyFont="1"/>
    <xf numFmtId="9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/>
    <xf numFmtId="3" fontId="2" fillId="0" borderId="0" xfId="0" applyNumberFormat="1" applyFont="1"/>
    <xf numFmtId="10" fontId="1" fillId="0" borderId="0" xfId="0" applyNumberFormat="1" applyFont="1"/>
    <xf numFmtId="2" fontId="1" fillId="0" borderId="0" xfId="0" applyNumberFormat="1" applyFont="1"/>
    <xf numFmtId="165" fontId="1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Sheet2!$A$6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Sheet2!$B$1:$M$1</c:f>
              <c:strCache>
                <c:ptCount val="12"/>
                <c:pt idx="0">
                  <c:v>Q1 2021</c:v>
                </c:pt>
                <c:pt idx="1">
                  <c:v>Q2 2021</c:v>
                </c:pt>
                <c:pt idx="2">
                  <c:v>Q3 2021</c:v>
                </c:pt>
                <c:pt idx="3">
                  <c:v>Q4 2021</c:v>
                </c:pt>
                <c:pt idx="4">
                  <c:v>Q1 2022</c:v>
                </c:pt>
                <c:pt idx="5">
                  <c:v>Q2 2022</c:v>
                </c:pt>
                <c:pt idx="6">
                  <c:v>Q3 2022</c:v>
                </c:pt>
                <c:pt idx="7">
                  <c:v>Q4 2022</c:v>
                </c:pt>
                <c:pt idx="8">
                  <c:v>Q1 2023</c:v>
                </c:pt>
                <c:pt idx="9">
                  <c:v>Q2 2023</c:v>
                </c:pt>
                <c:pt idx="10">
                  <c:v>Q3 2023</c:v>
                </c:pt>
                <c:pt idx="11">
                  <c:v>Q4 2023</c:v>
                </c:pt>
              </c:strCache>
            </c:strRef>
          </c:cat>
          <c:val>
            <c:numRef>
              <c:f>Sheet2!$B$6:$M$6</c:f>
              <c:numCache>
                <c:formatCode>General</c:formatCode>
                <c:ptCount val="12"/>
                <c:pt idx="4">
                  <c:v>228</c:v>
                </c:pt>
                <c:pt idx="5">
                  <c:v>321</c:v>
                </c:pt>
                <c:pt idx="6">
                  <c:v>382</c:v>
                </c:pt>
                <c:pt idx="7">
                  <c:v>502</c:v>
                </c:pt>
                <c:pt idx="8">
                  <c:v>525</c:v>
                </c:pt>
                <c:pt idx="9">
                  <c:v>567</c:v>
                </c:pt>
                <c:pt idx="10">
                  <c:v>615</c:v>
                </c:pt>
                <c:pt idx="11">
                  <c:v>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0E-4D13-A355-266D3DADD6DD}"/>
            </c:ext>
          </c:extLst>
        </c:ser>
        <c:ser>
          <c:idx val="1"/>
          <c:order val="1"/>
          <c:tx>
            <c:strRef>
              <c:f>Sheet2!$A$13</c:f>
              <c:strCache>
                <c:ptCount val="1"/>
                <c:pt idx="0">
                  <c:v>Operating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Sheet2!$B$1:$M$1</c:f>
              <c:strCache>
                <c:ptCount val="12"/>
                <c:pt idx="0">
                  <c:v>Q1 2021</c:v>
                </c:pt>
                <c:pt idx="1">
                  <c:v>Q2 2021</c:v>
                </c:pt>
                <c:pt idx="2">
                  <c:v>Q3 2021</c:v>
                </c:pt>
                <c:pt idx="3">
                  <c:v>Q4 2021</c:v>
                </c:pt>
                <c:pt idx="4">
                  <c:v>Q1 2022</c:v>
                </c:pt>
                <c:pt idx="5">
                  <c:v>Q2 2022</c:v>
                </c:pt>
                <c:pt idx="6">
                  <c:v>Q3 2022</c:v>
                </c:pt>
                <c:pt idx="7">
                  <c:v>Q4 2022</c:v>
                </c:pt>
                <c:pt idx="8">
                  <c:v>Q1 2023</c:v>
                </c:pt>
                <c:pt idx="9">
                  <c:v>Q2 2023</c:v>
                </c:pt>
                <c:pt idx="10">
                  <c:v>Q3 2023</c:v>
                </c:pt>
                <c:pt idx="11">
                  <c:v>Q4 2023</c:v>
                </c:pt>
              </c:strCache>
            </c:strRef>
          </c:cat>
          <c:val>
            <c:numRef>
              <c:f>Sheet2!$B$13:$M$13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-440</c:v>
                </c:pt>
                <c:pt idx="5">
                  <c:v>-370</c:v>
                </c:pt>
                <c:pt idx="6">
                  <c:v>-271</c:v>
                </c:pt>
                <c:pt idx="7">
                  <c:v>-232</c:v>
                </c:pt>
                <c:pt idx="8">
                  <c:v>-193</c:v>
                </c:pt>
                <c:pt idx="9">
                  <c:v>-100</c:v>
                </c:pt>
                <c:pt idx="10">
                  <c:v>-66</c:v>
                </c:pt>
                <c:pt idx="11">
                  <c:v>-47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0E-4D13-A355-266D3DADD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2271392"/>
        <c:axId val="1112277632"/>
      </c:barChart>
      <c:catAx>
        <c:axId val="111227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277632"/>
        <c:crosses val="autoZero"/>
        <c:auto val="1"/>
        <c:lblAlgn val="ctr"/>
        <c:lblOffset val="100"/>
        <c:noMultiLvlLbl val="0"/>
      </c:catAx>
      <c:valAx>
        <c:axId val="11122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27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Revenue by Geography	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6F8-48AE-9F0F-7E8E9E2E65A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6F8-48AE-9F0F-7E8E9E2E65A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6F8-48AE-9F0F-7E8E9E2E65A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6F8-48AE-9F0F-7E8E9E2E65A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6F8-48AE-9F0F-7E8E9E2E65A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6F8-48AE-9F0F-7E8E9E2E65A6}"/>
              </c:ext>
            </c:extLst>
          </c:dPt>
          <c:cat>
            <c:strRef>
              <c:f>Sheet1!$A$31:$A$36</c:f>
              <c:strCache>
                <c:ptCount val="6"/>
                <c:pt idx="0">
                  <c:v>Singapore</c:v>
                </c:pt>
                <c:pt idx="1">
                  <c:v>Malaysia </c:v>
                </c:pt>
                <c:pt idx="2">
                  <c:v>Indonesia</c:v>
                </c:pt>
                <c:pt idx="3">
                  <c:v>Philippines</c:v>
                </c:pt>
                <c:pt idx="4">
                  <c:v>Thailand </c:v>
                </c:pt>
                <c:pt idx="5">
                  <c:v>Others</c:v>
                </c:pt>
              </c:strCache>
            </c:strRef>
          </c:cat>
          <c:val>
            <c:numRef>
              <c:f>Sheet1!$C$31:$C$36</c:f>
              <c:numCache>
                <c:formatCode>0%</c:formatCode>
                <c:ptCount val="6"/>
                <c:pt idx="0">
                  <c:v>0.20347604917337855</c:v>
                </c:pt>
                <c:pt idx="1">
                  <c:v>0.28529037727850787</c:v>
                </c:pt>
                <c:pt idx="2">
                  <c:v>0.25646460364561252</c:v>
                </c:pt>
                <c:pt idx="3">
                  <c:v>8.4781687155574395E-2</c:v>
                </c:pt>
                <c:pt idx="4">
                  <c:v>8.6901229334463759E-2</c:v>
                </c:pt>
                <c:pt idx="5">
                  <c:v>8.3086053412462904E-2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20-437A-983D-49EB864B1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175260</xdr:rowOff>
    </xdr:from>
    <xdr:to>
      <xdr:col>7</xdr:col>
      <xdr:colOff>304800</xdr:colOff>
      <xdr:row>27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116707-9297-414D-9A63-8DB5D33A57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12</xdr:row>
      <xdr:rowOff>179070</xdr:rowOff>
    </xdr:from>
    <xdr:to>
      <xdr:col>15</xdr:col>
      <xdr:colOff>304800</xdr:colOff>
      <xdr:row>27</xdr:row>
      <xdr:rowOff>179070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9A2D450-E230-D201-2239-9435C6EBF4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601980</xdr:colOff>
      <xdr:row>0</xdr:row>
      <xdr:rowOff>15240</xdr:rowOff>
    </xdr:from>
    <xdr:to>
      <xdr:col>18</xdr:col>
      <xdr:colOff>0</xdr:colOff>
      <xdr:row>30</xdr:row>
      <xdr:rowOff>30480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33D078D-2996-2F01-0770-3A88953783E2}"/>
            </a:ext>
          </a:extLst>
        </xdr:cNvPr>
        <xdr:cNvCxnSpPr/>
      </xdr:nvCxnSpPr>
      <xdr:spPr>
        <a:xfrm flipH="1">
          <a:off x="11407140" y="15240"/>
          <a:ext cx="7620" cy="55016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73F5-3736-4C0F-B5D6-C825E6E8070A}">
  <dimension ref="A1:C47"/>
  <sheetViews>
    <sheetView topLeftCell="A4" workbookViewId="0">
      <selection activeCell="B7" sqref="B7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>
        <v>3.2</v>
      </c>
    </row>
    <row r="3" spans="1:3" x14ac:dyDescent="0.3">
      <c r="A3" t="s">
        <v>3</v>
      </c>
      <c r="B3">
        <f>3813.34+120.402+25.999</f>
        <v>3959.741</v>
      </c>
    </row>
    <row r="4" spans="1:3" x14ac:dyDescent="0.3">
      <c r="A4" t="s">
        <v>4</v>
      </c>
      <c r="B4">
        <f>B2*B3</f>
        <v>12671.171200000001</v>
      </c>
    </row>
    <row r="5" spans="1:3" x14ac:dyDescent="0.3">
      <c r="A5" t="s">
        <v>5</v>
      </c>
      <c r="B5">
        <f>1188+3138+1905</f>
        <v>6231</v>
      </c>
      <c r="C5">
        <f>+B5-B6</f>
        <v>5438</v>
      </c>
    </row>
    <row r="6" spans="1:3" x14ac:dyDescent="0.3">
      <c r="A6" t="s">
        <v>6</v>
      </c>
      <c r="B6">
        <f>668+125</f>
        <v>793</v>
      </c>
    </row>
    <row r="7" spans="1:3" x14ac:dyDescent="0.3">
      <c r="A7" t="s">
        <v>7</v>
      </c>
      <c r="B7">
        <f>B4-B5+B6</f>
        <v>7233.1712000000007</v>
      </c>
    </row>
    <row r="10" spans="1:3" x14ac:dyDescent="0.3">
      <c r="A10" s="1" t="s">
        <v>9</v>
      </c>
    </row>
    <row r="11" spans="1:3" x14ac:dyDescent="0.3">
      <c r="A11" s="1" t="s">
        <v>8</v>
      </c>
    </row>
    <row r="12" spans="1:3" x14ac:dyDescent="0.3">
      <c r="A12" s="1" t="s">
        <v>10</v>
      </c>
    </row>
    <row r="13" spans="1:3" x14ac:dyDescent="0.3">
      <c r="A13" s="1" t="s">
        <v>44</v>
      </c>
    </row>
    <row r="30" spans="1:3" x14ac:dyDescent="0.3">
      <c r="A30" t="s">
        <v>49</v>
      </c>
      <c r="C30" t="s">
        <v>57</v>
      </c>
    </row>
    <row r="31" spans="1:3" x14ac:dyDescent="0.3">
      <c r="A31" t="s">
        <v>50</v>
      </c>
      <c r="B31">
        <v>480</v>
      </c>
      <c r="C31" s="2">
        <f>B31/$B$37</f>
        <v>0.20347604917337855</v>
      </c>
    </row>
    <row r="32" spans="1:3" x14ac:dyDescent="0.3">
      <c r="A32" t="s">
        <v>51</v>
      </c>
      <c r="B32">
        <v>673</v>
      </c>
      <c r="C32" s="2">
        <f t="shared" ref="C32:C36" si="0">B32/$B$37</f>
        <v>0.28529037727850787</v>
      </c>
    </row>
    <row r="33" spans="1:3" x14ac:dyDescent="0.3">
      <c r="A33" t="s">
        <v>52</v>
      </c>
      <c r="B33">
        <v>605</v>
      </c>
      <c r="C33" s="2">
        <f t="shared" si="0"/>
        <v>0.25646460364561252</v>
      </c>
    </row>
    <row r="34" spans="1:3" x14ac:dyDescent="0.3">
      <c r="A34" t="s">
        <v>53</v>
      </c>
      <c r="B34">
        <v>200</v>
      </c>
      <c r="C34" s="2">
        <f t="shared" si="0"/>
        <v>8.4781687155574395E-2</v>
      </c>
    </row>
    <row r="35" spans="1:3" x14ac:dyDescent="0.3">
      <c r="A35" t="s">
        <v>54</v>
      </c>
      <c r="B35">
        <v>205</v>
      </c>
      <c r="C35" s="2">
        <f t="shared" si="0"/>
        <v>8.6901229334463759E-2</v>
      </c>
    </row>
    <row r="36" spans="1:3" x14ac:dyDescent="0.3">
      <c r="A36" t="s">
        <v>55</v>
      </c>
      <c r="B36">
        <v>196</v>
      </c>
      <c r="C36" s="2">
        <f t="shared" si="0"/>
        <v>8.3086053412462904E-2</v>
      </c>
    </row>
    <row r="37" spans="1:3" x14ac:dyDescent="0.3">
      <c r="A37" t="s">
        <v>56</v>
      </c>
      <c r="B37">
        <f>SUM(B31:B36)</f>
        <v>2359</v>
      </c>
    </row>
    <row r="39" spans="1:3" x14ac:dyDescent="0.3">
      <c r="A39" t="s">
        <v>67</v>
      </c>
      <c r="B39">
        <v>10604</v>
      </c>
    </row>
    <row r="41" spans="1:3" x14ac:dyDescent="0.3">
      <c r="A41" t="s">
        <v>68</v>
      </c>
    </row>
    <row r="42" spans="1:3" x14ac:dyDescent="0.3">
      <c r="A42" t="s">
        <v>69</v>
      </c>
      <c r="C42" s="3">
        <v>0.13900000000000001</v>
      </c>
    </row>
    <row r="43" spans="1:3" x14ac:dyDescent="0.3">
      <c r="A43" t="s">
        <v>70</v>
      </c>
      <c r="C43" s="3">
        <v>0.13600000000000001</v>
      </c>
    </row>
    <row r="44" spans="1:3" x14ac:dyDescent="0.3">
      <c r="A44" t="s">
        <v>71</v>
      </c>
      <c r="C44" s="3">
        <v>5.7000000000000002E-2</v>
      </c>
    </row>
    <row r="45" spans="1:3" x14ac:dyDescent="0.3">
      <c r="A45" t="s">
        <v>72</v>
      </c>
      <c r="C45" s="3">
        <v>5.3999999999999999E-2</v>
      </c>
    </row>
    <row r="46" spans="1:3" x14ac:dyDescent="0.3">
      <c r="A46" t="s">
        <v>73</v>
      </c>
      <c r="C46" s="2">
        <v>0.05</v>
      </c>
    </row>
    <row r="47" spans="1:3" x14ac:dyDescent="0.3">
      <c r="A47" t="s">
        <v>74</v>
      </c>
      <c r="C47" s="3">
        <v>3.9E-2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97A0-1D4F-43B5-9410-2A2646211717}">
  <dimension ref="A1:CN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B6" sqref="AB6"/>
    </sheetView>
  </sheetViews>
  <sheetFormatPr defaultRowHeight="13.2" x14ac:dyDescent="0.25"/>
  <cols>
    <col min="1" max="1" width="15.33203125" style="4" bestFit="1" customWidth="1"/>
    <col min="2" max="13" width="9" style="4" bestFit="1" customWidth="1"/>
    <col min="14" max="15" width="8.88671875" style="4"/>
    <col min="16" max="18" width="9" style="4" bestFit="1" customWidth="1"/>
    <col min="19" max="19" width="10" style="4" bestFit="1" customWidth="1"/>
    <col min="20" max="27" width="9" style="4" bestFit="1" customWidth="1"/>
    <col min="28" max="28" width="12.21875" style="4" bestFit="1" customWidth="1"/>
    <col min="29" max="92" width="9" style="4" bestFit="1" customWidth="1"/>
    <col min="93" max="16384" width="8.88671875" style="4"/>
  </cols>
  <sheetData>
    <row r="1" spans="1:28" x14ac:dyDescent="0.25"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  <c r="P1" s="4">
        <v>2021</v>
      </c>
      <c r="Q1" s="4">
        <f>P1+1</f>
        <v>2022</v>
      </c>
      <c r="R1" s="4">
        <f t="shared" ref="R1:Y1" si="0">Q1+1</f>
        <v>2023</v>
      </c>
      <c r="S1" s="4">
        <f t="shared" si="0"/>
        <v>2024</v>
      </c>
      <c r="T1" s="4">
        <f t="shared" si="0"/>
        <v>2025</v>
      </c>
      <c r="U1" s="4">
        <f t="shared" si="0"/>
        <v>2026</v>
      </c>
      <c r="V1" s="4">
        <f t="shared" si="0"/>
        <v>2027</v>
      </c>
      <c r="W1" s="4">
        <f t="shared" si="0"/>
        <v>2028</v>
      </c>
      <c r="X1" s="4">
        <f t="shared" si="0"/>
        <v>2029</v>
      </c>
      <c r="Y1" s="4">
        <f t="shared" si="0"/>
        <v>2030</v>
      </c>
    </row>
    <row r="2" spans="1:28" x14ac:dyDescent="0.25">
      <c r="A2" s="4" t="s">
        <v>45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Q2" s="4">
        <v>663</v>
      </c>
      <c r="R2" s="4">
        <v>1194</v>
      </c>
      <c r="AA2" s="4" t="s">
        <v>58</v>
      </c>
      <c r="AB2" s="6">
        <v>0.1</v>
      </c>
    </row>
    <row r="3" spans="1:28" x14ac:dyDescent="0.25">
      <c r="A3" s="4" t="s">
        <v>46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Q3" s="4">
        <v>639</v>
      </c>
      <c r="R3" s="4">
        <v>869</v>
      </c>
      <c r="AA3" s="4" t="s">
        <v>59</v>
      </c>
      <c r="AB3" s="6">
        <v>0.01</v>
      </c>
    </row>
    <row r="4" spans="1:28" x14ac:dyDescent="0.25">
      <c r="A4" s="4" t="s">
        <v>47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Q4" s="4">
        <v>71</v>
      </c>
      <c r="R4" s="4">
        <v>184</v>
      </c>
      <c r="AA4" s="4" t="s">
        <v>60</v>
      </c>
      <c r="AB4" s="7">
        <f>NPV(AB2,S18:CN18)</f>
        <v>19414.164504699304</v>
      </c>
    </row>
    <row r="5" spans="1:28" x14ac:dyDescent="0.25">
      <c r="A5" s="4" t="s">
        <v>48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Q5" s="4">
        <v>60</v>
      </c>
      <c r="R5" s="4">
        <v>112</v>
      </c>
      <c r="AA5" s="4" t="s">
        <v>61</v>
      </c>
      <c r="AB5" s="4">
        <f>+M20</f>
        <v>5438</v>
      </c>
    </row>
    <row r="6" spans="1:28" x14ac:dyDescent="0.25">
      <c r="A6" s="4" t="s">
        <v>23</v>
      </c>
      <c r="F6" s="4">
        <v>228</v>
      </c>
      <c r="G6" s="4">
        <v>321</v>
      </c>
      <c r="H6" s="4">
        <v>382</v>
      </c>
      <c r="I6" s="4">
        <v>502</v>
      </c>
      <c r="J6" s="4">
        <v>525</v>
      </c>
      <c r="K6" s="4">
        <v>567</v>
      </c>
      <c r="L6" s="4">
        <v>615</v>
      </c>
      <c r="M6" s="4">
        <v>653</v>
      </c>
      <c r="P6" s="4">
        <f>SUM(P2:P5)</f>
        <v>0</v>
      </c>
      <c r="Q6" s="4">
        <f>SUM(Q2:Q5)</f>
        <v>1433</v>
      </c>
      <c r="R6" s="4">
        <f t="shared" ref="R6" si="1">SUM(R2:R5)</f>
        <v>2359</v>
      </c>
      <c r="S6" s="8">
        <f>+S28*S29</f>
        <v>2880.3390000000009</v>
      </c>
      <c r="T6" s="8">
        <f t="shared" ref="T6:Y6" si="2">+T28*T29</f>
        <v>3389.0068674000017</v>
      </c>
      <c r="U6" s="8">
        <f t="shared" si="2"/>
        <v>3914.3029318470017</v>
      </c>
      <c r="V6" s="8">
        <f t="shared" si="2"/>
        <v>4521.0198862832876</v>
      </c>
      <c r="W6" s="8">
        <f t="shared" si="2"/>
        <v>5126.8365510452486</v>
      </c>
      <c r="X6" s="8">
        <f t="shared" si="2"/>
        <v>5813.8326488853127</v>
      </c>
      <c r="Y6" s="8">
        <f t="shared" si="2"/>
        <v>6592.8862238359461</v>
      </c>
      <c r="AA6" s="4" t="s">
        <v>62</v>
      </c>
      <c r="AB6" s="7">
        <f>+AB4+AB5</f>
        <v>24852.164504699304</v>
      </c>
    </row>
    <row r="7" spans="1:28" x14ac:dyDescent="0.25">
      <c r="A7" s="4" t="s">
        <v>24</v>
      </c>
      <c r="F7" s="4">
        <v>310</v>
      </c>
      <c r="G7" s="4">
        <v>337</v>
      </c>
      <c r="H7" s="4">
        <v>321</v>
      </c>
      <c r="I7" s="4">
        <v>388</v>
      </c>
      <c r="J7" s="4">
        <v>372</v>
      </c>
      <c r="K7" s="4">
        <v>376</v>
      </c>
      <c r="L7" s="4">
        <v>375</v>
      </c>
      <c r="M7" s="4">
        <v>377</v>
      </c>
      <c r="Q7" s="4">
        <f t="shared" ref="Q7" si="3">SUM(F7:I7)</f>
        <v>1356</v>
      </c>
      <c r="R7" s="4">
        <f t="shared" ref="R7" si="4">SUM(J7:M7)</f>
        <v>1500</v>
      </c>
      <c r="S7" s="8">
        <f>+R7*1.05</f>
        <v>1575</v>
      </c>
      <c r="T7" s="8">
        <f t="shared" ref="T7:Y7" si="5">+S7*1.05</f>
        <v>1653.75</v>
      </c>
      <c r="U7" s="8">
        <f t="shared" si="5"/>
        <v>1736.4375</v>
      </c>
      <c r="V7" s="8">
        <f t="shared" si="5"/>
        <v>1823.2593750000001</v>
      </c>
      <c r="W7" s="8">
        <f t="shared" si="5"/>
        <v>1914.4223437500002</v>
      </c>
      <c r="X7" s="8">
        <f t="shared" si="5"/>
        <v>2010.1434609375003</v>
      </c>
      <c r="Y7" s="8">
        <f t="shared" si="5"/>
        <v>2110.6506339843754</v>
      </c>
      <c r="AA7" s="4" t="s">
        <v>3</v>
      </c>
      <c r="AB7" s="4">
        <v>3933.7</v>
      </c>
    </row>
    <row r="8" spans="1:28" x14ac:dyDescent="0.25">
      <c r="A8" s="4" t="s">
        <v>25</v>
      </c>
      <c r="B8" s="4">
        <f t="shared" ref="B8:L8" si="6">B6-B7</f>
        <v>0</v>
      </c>
      <c r="C8" s="4">
        <f t="shared" si="6"/>
        <v>0</v>
      </c>
      <c r="D8" s="4">
        <f t="shared" si="6"/>
        <v>0</v>
      </c>
      <c r="E8" s="4">
        <f t="shared" si="6"/>
        <v>0</v>
      </c>
      <c r="F8" s="4">
        <f t="shared" si="6"/>
        <v>-82</v>
      </c>
      <c r="G8" s="4">
        <f t="shared" si="6"/>
        <v>-16</v>
      </c>
      <c r="H8" s="4">
        <f t="shared" si="6"/>
        <v>61</v>
      </c>
      <c r="I8" s="4">
        <f t="shared" si="6"/>
        <v>114</v>
      </c>
      <c r="J8" s="4">
        <f t="shared" si="6"/>
        <v>153</v>
      </c>
      <c r="K8" s="4">
        <f t="shared" si="6"/>
        <v>191</v>
      </c>
      <c r="L8" s="4">
        <f t="shared" si="6"/>
        <v>240</v>
      </c>
      <c r="M8" s="4">
        <f>M6-M7</f>
        <v>276</v>
      </c>
      <c r="P8" s="4">
        <f>P6-P7</f>
        <v>0</v>
      </c>
      <c r="Q8" s="4">
        <f>Q6-Q7</f>
        <v>77</v>
      </c>
      <c r="R8" s="4">
        <f>R6-R7</f>
        <v>859</v>
      </c>
      <c r="S8" s="8">
        <f>S6-S7</f>
        <v>1305.3390000000009</v>
      </c>
      <c r="T8" s="8">
        <f t="shared" ref="T8:Y8" si="7">T6-T7</f>
        <v>1735.2568674000017</v>
      </c>
      <c r="U8" s="8">
        <f t="shared" si="7"/>
        <v>2177.8654318470017</v>
      </c>
      <c r="V8" s="8">
        <f t="shared" si="7"/>
        <v>2697.7605112832875</v>
      </c>
      <c r="W8" s="8">
        <f t="shared" si="7"/>
        <v>3212.4142072952482</v>
      </c>
      <c r="X8" s="8">
        <f t="shared" si="7"/>
        <v>3803.6891879478126</v>
      </c>
      <c r="Y8" s="8">
        <f t="shared" si="7"/>
        <v>4482.2355898515707</v>
      </c>
      <c r="AA8" s="4" t="s">
        <v>2</v>
      </c>
      <c r="AB8" s="7">
        <f>+AB6/AB7</f>
        <v>6.3177579644353417</v>
      </c>
    </row>
    <row r="9" spans="1:28" x14ac:dyDescent="0.25">
      <c r="A9" s="4" t="s">
        <v>26</v>
      </c>
      <c r="F9" s="4">
        <v>70</v>
      </c>
      <c r="G9" s="4">
        <v>72</v>
      </c>
      <c r="H9" s="4">
        <v>66</v>
      </c>
      <c r="I9" s="4">
        <v>70</v>
      </c>
      <c r="J9" s="4">
        <v>70</v>
      </c>
      <c r="K9" s="4">
        <v>63</v>
      </c>
      <c r="L9" s="4">
        <v>76</v>
      </c>
      <c r="M9" s="4">
        <v>84</v>
      </c>
      <c r="Q9" s="4">
        <f t="shared" ref="Q9:Q11" si="8">SUM(F9:I9)</f>
        <v>278</v>
      </c>
      <c r="R9" s="4">
        <f t="shared" ref="R9:R11" si="9">SUM(J9:M9)</f>
        <v>293</v>
      </c>
      <c r="S9" s="8">
        <f>R9*1.03</f>
        <v>301.79000000000002</v>
      </c>
      <c r="T9" s="8">
        <f t="shared" ref="T9:Y9" si="10">S9*1.03</f>
        <v>310.84370000000001</v>
      </c>
      <c r="U9" s="8">
        <f t="shared" si="10"/>
        <v>320.16901100000001</v>
      </c>
      <c r="V9" s="8">
        <f t="shared" si="10"/>
        <v>329.77408133</v>
      </c>
      <c r="W9" s="8">
        <f t="shared" si="10"/>
        <v>339.6673037699</v>
      </c>
      <c r="X9" s="8">
        <f t="shared" si="10"/>
        <v>349.85732288299704</v>
      </c>
      <c r="Y9" s="8">
        <f t="shared" si="10"/>
        <v>360.35304256948695</v>
      </c>
    </row>
    <row r="10" spans="1:28" x14ac:dyDescent="0.25">
      <c r="A10" s="4" t="s">
        <v>27</v>
      </c>
      <c r="F10" s="4">
        <v>169</v>
      </c>
      <c r="G10" s="4">
        <v>162</v>
      </c>
      <c r="H10" s="4">
        <v>150</v>
      </c>
      <c r="I10" s="4">
        <v>166</v>
      </c>
      <c r="J10" s="4">
        <v>147</v>
      </c>
      <c r="K10" s="4">
        <v>137</v>
      </c>
      <c r="L10" s="4">
        <v>131</v>
      </c>
      <c r="M10" s="4">
        <v>136</v>
      </c>
      <c r="Q10" s="4">
        <f t="shared" si="8"/>
        <v>647</v>
      </c>
      <c r="R10" s="4">
        <f t="shared" si="9"/>
        <v>551</v>
      </c>
      <c r="S10" s="8">
        <f>R10*1.035</f>
        <v>570.28499999999997</v>
      </c>
      <c r="T10" s="8">
        <f t="shared" ref="T10:Y10" si="11">S10*1.035</f>
        <v>590.24497499999995</v>
      </c>
      <c r="U10" s="8">
        <f t="shared" si="11"/>
        <v>610.90354912499993</v>
      </c>
      <c r="V10" s="8">
        <f t="shared" si="11"/>
        <v>632.28517334437493</v>
      </c>
      <c r="W10" s="8">
        <f t="shared" si="11"/>
        <v>654.41515441142803</v>
      </c>
      <c r="X10" s="8">
        <f t="shared" si="11"/>
        <v>677.31968481582794</v>
      </c>
      <c r="Y10" s="8">
        <f t="shared" si="11"/>
        <v>701.02587378438182</v>
      </c>
    </row>
    <row r="11" spans="1:28" x14ac:dyDescent="0.25">
      <c r="A11" s="4" t="s">
        <v>28</v>
      </c>
      <c r="F11" s="4">
        <v>119</v>
      </c>
      <c r="G11" s="4">
        <v>120</v>
      </c>
      <c r="H11" s="4">
        <v>116</v>
      </c>
      <c r="I11" s="4">
        <v>110</v>
      </c>
      <c r="J11" s="4">
        <v>129</v>
      </c>
      <c r="K11" s="4">
        <v>91</v>
      </c>
      <c r="L11" s="4">
        <v>99</v>
      </c>
      <c r="M11" s="4">
        <v>103</v>
      </c>
      <c r="Q11" s="4">
        <f t="shared" si="8"/>
        <v>465</v>
      </c>
      <c r="R11" s="4">
        <f t="shared" si="9"/>
        <v>422</v>
      </c>
      <c r="S11" s="8">
        <f>R11*1.01</f>
        <v>426.22</v>
      </c>
      <c r="T11" s="8">
        <f t="shared" ref="T11:Y11" si="12">S11*1.01</f>
        <v>430.48220000000003</v>
      </c>
      <c r="U11" s="8">
        <f t="shared" si="12"/>
        <v>434.78702200000004</v>
      </c>
      <c r="V11" s="8">
        <f t="shared" si="12"/>
        <v>439.13489222000004</v>
      </c>
      <c r="W11" s="8">
        <f t="shared" si="12"/>
        <v>443.52624114220004</v>
      </c>
      <c r="X11" s="8">
        <f t="shared" si="12"/>
        <v>447.96150355362204</v>
      </c>
      <c r="Y11" s="8">
        <f t="shared" si="12"/>
        <v>452.44111858915824</v>
      </c>
    </row>
    <row r="12" spans="1:28" x14ac:dyDescent="0.25">
      <c r="A12" s="4" t="s">
        <v>29</v>
      </c>
      <c r="B12" s="4">
        <f t="shared" ref="B12:L12" si="13">B9+B10+B11</f>
        <v>0</v>
      </c>
      <c r="C12" s="4">
        <f t="shared" si="13"/>
        <v>0</v>
      </c>
      <c r="D12" s="4">
        <f t="shared" si="13"/>
        <v>0</v>
      </c>
      <c r="E12" s="4">
        <f t="shared" si="13"/>
        <v>0</v>
      </c>
      <c r="F12" s="4">
        <f t="shared" si="13"/>
        <v>358</v>
      </c>
      <c r="G12" s="4">
        <f t="shared" si="13"/>
        <v>354</v>
      </c>
      <c r="H12" s="4">
        <f t="shared" si="13"/>
        <v>332</v>
      </c>
      <c r="I12" s="4">
        <f t="shared" si="13"/>
        <v>346</v>
      </c>
      <c r="J12" s="4">
        <f t="shared" si="13"/>
        <v>346</v>
      </c>
      <c r="K12" s="4">
        <f t="shared" si="13"/>
        <v>291</v>
      </c>
      <c r="L12" s="4">
        <f t="shared" si="13"/>
        <v>306</v>
      </c>
      <c r="M12" s="4">
        <f>M9+M10+M11</f>
        <v>323</v>
      </c>
      <c r="P12" s="4">
        <f>P9+P10+P11</f>
        <v>0</v>
      </c>
      <c r="Q12" s="4">
        <f>Q9+Q10+Q11</f>
        <v>1390</v>
      </c>
      <c r="R12" s="4">
        <f>R9+R10+R11</f>
        <v>1266</v>
      </c>
      <c r="S12" s="8">
        <f>S9+S10+S11</f>
        <v>1298.2950000000001</v>
      </c>
      <c r="T12" s="8">
        <f t="shared" ref="T12:Y12" si="14">T9+T10+T11</f>
        <v>1331.5708749999999</v>
      </c>
      <c r="U12" s="8">
        <f t="shared" si="14"/>
        <v>1365.8595821249999</v>
      </c>
      <c r="V12" s="8">
        <f t="shared" si="14"/>
        <v>1401.1941468943749</v>
      </c>
      <c r="W12" s="8">
        <f t="shared" si="14"/>
        <v>1437.6086993235281</v>
      </c>
      <c r="X12" s="8">
        <f t="shared" si="14"/>
        <v>1475.1385112524472</v>
      </c>
      <c r="Y12" s="8">
        <f t="shared" si="14"/>
        <v>1513.8200349430272</v>
      </c>
    </row>
    <row r="13" spans="1:28" x14ac:dyDescent="0.25">
      <c r="A13" s="5" t="s">
        <v>30</v>
      </c>
      <c r="B13" s="5">
        <f t="shared" ref="B13:L13" si="15">B8-B12</f>
        <v>0</v>
      </c>
      <c r="C13" s="5">
        <f t="shared" si="15"/>
        <v>0</v>
      </c>
      <c r="D13" s="5">
        <f t="shared" si="15"/>
        <v>0</v>
      </c>
      <c r="E13" s="5">
        <f t="shared" si="15"/>
        <v>0</v>
      </c>
      <c r="F13" s="5">
        <f t="shared" si="15"/>
        <v>-440</v>
      </c>
      <c r="G13" s="5">
        <f t="shared" si="15"/>
        <v>-370</v>
      </c>
      <c r="H13" s="5">
        <f t="shared" si="15"/>
        <v>-271</v>
      </c>
      <c r="I13" s="5">
        <f t="shared" si="15"/>
        <v>-232</v>
      </c>
      <c r="J13" s="5">
        <f t="shared" si="15"/>
        <v>-193</v>
      </c>
      <c r="K13" s="5">
        <f t="shared" si="15"/>
        <v>-100</v>
      </c>
      <c r="L13" s="5">
        <f t="shared" si="15"/>
        <v>-66</v>
      </c>
      <c r="M13" s="5">
        <f>M8-M12</f>
        <v>-47</v>
      </c>
      <c r="P13" s="5">
        <f>P8-P12</f>
        <v>0</v>
      </c>
      <c r="Q13" s="5">
        <f>Q8-Q12</f>
        <v>-1313</v>
      </c>
      <c r="R13" s="5">
        <f>R8-R12</f>
        <v>-407</v>
      </c>
      <c r="S13" s="9">
        <f>S8-S12</f>
        <v>7.0440000000007785</v>
      </c>
      <c r="T13" s="9">
        <f t="shared" ref="T13:Y13" si="16">T8-T12</f>
        <v>403.68599240000185</v>
      </c>
      <c r="U13" s="9">
        <f t="shared" si="16"/>
        <v>812.00584972200181</v>
      </c>
      <c r="V13" s="9">
        <f t="shared" si="16"/>
        <v>1296.5663643889127</v>
      </c>
      <c r="W13" s="9">
        <f t="shared" si="16"/>
        <v>1774.8055079717201</v>
      </c>
      <c r="X13" s="9">
        <f t="shared" si="16"/>
        <v>2328.5506766953654</v>
      </c>
      <c r="Y13" s="9">
        <f t="shared" si="16"/>
        <v>2968.4155549085435</v>
      </c>
    </row>
    <row r="14" spans="1:28" x14ac:dyDescent="0.25">
      <c r="A14" s="4" t="s">
        <v>31</v>
      </c>
      <c r="I14" s="4">
        <f>9-9</f>
        <v>0</v>
      </c>
      <c r="M14" s="4">
        <f>5+20</f>
        <v>25</v>
      </c>
      <c r="P14" s="4">
        <v>0</v>
      </c>
      <c r="Q14" s="4">
        <v>0</v>
      </c>
      <c r="R14" s="4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</row>
    <row r="15" spans="1:28" x14ac:dyDescent="0.25">
      <c r="A15" s="4" t="s">
        <v>32</v>
      </c>
      <c r="I15" s="4">
        <f>38-54</f>
        <v>-16</v>
      </c>
      <c r="M15" s="4">
        <f>42-17</f>
        <v>25</v>
      </c>
      <c r="P15" s="4">
        <v>0</v>
      </c>
      <c r="Q15" s="4">
        <v>0</v>
      </c>
      <c r="R15" s="4">
        <v>0</v>
      </c>
      <c r="S15" s="8">
        <f>+$M$20*0.01</f>
        <v>54.38</v>
      </c>
      <c r="T15" s="8">
        <f t="shared" ref="T15:Y15" si="17">+$M$20*0.01</f>
        <v>54.38</v>
      </c>
      <c r="U15" s="8">
        <f t="shared" si="17"/>
        <v>54.38</v>
      </c>
      <c r="V15" s="8">
        <f t="shared" si="17"/>
        <v>54.38</v>
      </c>
      <c r="W15" s="8">
        <f t="shared" si="17"/>
        <v>54.38</v>
      </c>
      <c r="X15" s="8">
        <f t="shared" si="17"/>
        <v>54.38</v>
      </c>
      <c r="Y15" s="8">
        <f t="shared" si="17"/>
        <v>54.38</v>
      </c>
    </row>
    <row r="16" spans="1:28" x14ac:dyDescent="0.25">
      <c r="A16" s="4" t="s">
        <v>33</v>
      </c>
      <c r="B16" s="4">
        <f t="shared" ref="B16:L16" si="18">B13+B14+B15</f>
        <v>0</v>
      </c>
      <c r="C16" s="4">
        <f t="shared" si="18"/>
        <v>0</v>
      </c>
      <c r="D16" s="4">
        <f t="shared" si="18"/>
        <v>0</v>
      </c>
      <c r="E16" s="4">
        <f t="shared" si="18"/>
        <v>0</v>
      </c>
      <c r="F16" s="4">
        <f t="shared" si="18"/>
        <v>-440</v>
      </c>
      <c r="G16" s="4">
        <f t="shared" si="18"/>
        <v>-370</v>
      </c>
      <c r="H16" s="4">
        <f t="shared" si="18"/>
        <v>-271</v>
      </c>
      <c r="I16" s="4">
        <f t="shared" si="18"/>
        <v>-248</v>
      </c>
      <c r="J16" s="4">
        <f t="shared" si="18"/>
        <v>-193</v>
      </c>
      <c r="K16" s="4">
        <f t="shared" si="18"/>
        <v>-100</v>
      </c>
      <c r="L16" s="4">
        <f t="shared" si="18"/>
        <v>-66</v>
      </c>
      <c r="M16" s="4">
        <f>M13+M14+M15</f>
        <v>3</v>
      </c>
      <c r="Q16" s="4">
        <f>Q13+Q14+Q15</f>
        <v>-1313</v>
      </c>
      <c r="R16" s="4">
        <f t="shared" ref="R16:Y16" si="19">R13+R14+R15</f>
        <v>-407</v>
      </c>
      <c r="S16" s="8">
        <f t="shared" si="19"/>
        <v>61.424000000000781</v>
      </c>
      <c r="T16" s="8">
        <f t="shared" si="19"/>
        <v>458.06599240000185</v>
      </c>
      <c r="U16" s="8">
        <f t="shared" si="19"/>
        <v>866.38584972200181</v>
      </c>
      <c r="V16" s="8">
        <f t="shared" si="19"/>
        <v>1350.9463643889128</v>
      </c>
      <c r="W16" s="8">
        <f t="shared" si="19"/>
        <v>1829.1855079717202</v>
      </c>
      <c r="X16" s="8">
        <f t="shared" si="19"/>
        <v>2382.9306766953655</v>
      </c>
      <c r="Y16" s="8">
        <f t="shared" si="19"/>
        <v>3022.7955549085436</v>
      </c>
    </row>
    <row r="17" spans="1:92" x14ac:dyDescent="0.25">
      <c r="A17" s="4" t="s">
        <v>34</v>
      </c>
      <c r="Q17" s="4">
        <f>Q16*0.17</f>
        <v>-223.21</v>
      </c>
      <c r="R17" s="4">
        <f t="shared" ref="R17:Y17" si="20">R16*0.17</f>
        <v>-69.190000000000012</v>
      </c>
      <c r="S17" s="8">
        <f t="shared" si="20"/>
        <v>10.442080000000134</v>
      </c>
      <c r="T17" s="8">
        <f t="shared" si="20"/>
        <v>77.871218708000313</v>
      </c>
      <c r="U17" s="8">
        <f t="shared" si="20"/>
        <v>147.28559445274033</v>
      </c>
      <c r="V17" s="8">
        <f t="shared" si="20"/>
        <v>229.66088194611518</v>
      </c>
      <c r="W17" s="8">
        <f t="shared" si="20"/>
        <v>310.96153635519244</v>
      </c>
      <c r="X17" s="8">
        <f t="shared" si="20"/>
        <v>405.09821503821217</v>
      </c>
      <c r="Y17" s="8">
        <f t="shared" si="20"/>
        <v>513.87524433445242</v>
      </c>
    </row>
    <row r="18" spans="1:92" x14ac:dyDescent="0.25">
      <c r="A18" s="5" t="s">
        <v>35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>
        <f>Q16-Q17</f>
        <v>-1089.79</v>
      </c>
      <c r="R18" s="5">
        <f t="shared" ref="R18:Y18" si="21">R16-R17</f>
        <v>-337.81</v>
      </c>
      <c r="S18" s="9">
        <f t="shared" si="21"/>
        <v>50.981920000000649</v>
      </c>
      <c r="T18" s="9">
        <f t="shared" si="21"/>
        <v>380.19477369200155</v>
      </c>
      <c r="U18" s="9">
        <f t="shared" si="21"/>
        <v>719.10025526926142</v>
      </c>
      <c r="V18" s="9">
        <f t="shared" si="21"/>
        <v>1121.2854824427977</v>
      </c>
      <c r="W18" s="9">
        <f t="shared" si="21"/>
        <v>1518.2239716165277</v>
      </c>
      <c r="X18" s="9">
        <f t="shared" si="21"/>
        <v>1977.8324616571533</v>
      </c>
      <c r="Y18" s="9">
        <f t="shared" si="21"/>
        <v>2508.9203105740912</v>
      </c>
      <c r="Z18" s="9">
        <f>Y18*(1+$AB$3)</f>
        <v>2534.0095136798323</v>
      </c>
      <c r="AA18" s="9">
        <f t="shared" ref="AA18:CL18" si="22">Z18*(1+$AB$3)</f>
        <v>2559.3496088166307</v>
      </c>
      <c r="AB18" s="9">
        <f t="shared" si="22"/>
        <v>2584.9431049047971</v>
      </c>
      <c r="AC18" s="9">
        <f t="shared" si="22"/>
        <v>2610.7925359538449</v>
      </c>
      <c r="AD18" s="9">
        <f t="shared" si="22"/>
        <v>2636.9004613133834</v>
      </c>
      <c r="AE18" s="9">
        <f t="shared" si="22"/>
        <v>2663.2694659265171</v>
      </c>
      <c r="AF18" s="9">
        <f t="shared" si="22"/>
        <v>2689.9021605857824</v>
      </c>
      <c r="AG18" s="9">
        <f t="shared" si="22"/>
        <v>2716.8011821916402</v>
      </c>
      <c r="AH18" s="9">
        <f t="shared" si="22"/>
        <v>2743.9691940135567</v>
      </c>
      <c r="AI18" s="9">
        <f t="shared" si="22"/>
        <v>2771.4088859536923</v>
      </c>
      <c r="AJ18" s="9">
        <f t="shared" si="22"/>
        <v>2799.1229748132291</v>
      </c>
      <c r="AK18" s="9">
        <f t="shared" si="22"/>
        <v>2827.1142045613615</v>
      </c>
      <c r="AL18" s="9">
        <f t="shared" si="22"/>
        <v>2855.385346606975</v>
      </c>
      <c r="AM18" s="9">
        <f t="shared" si="22"/>
        <v>2883.939200073045</v>
      </c>
      <c r="AN18" s="9">
        <f t="shared" si="22"/>
        <v>2912.7785920737756</v>
      </c>
      <c r="AO18" s="9">
        <f t="shared" si="22"/>
        <v>2941.9063779945136</v>
      </c>
      <c r="AP18" s="9">
        <f t="shared" si="22"/>
        <v>2971.3254417744588</v>
      </c>
      <c r="AQ18" s="9">
        <f t="shared" si="22"/>
        <v>3001.0386961922036</v>
      </c>
      <c r="AR18" s="9">
        <f t="shared" si="22"/>
        <v>3031.0490831541256</v>
      </c>
      <c r="AS18" s="9">
        <f t="shared" si="22"/>
        <v>3061.3595739856669</v>
      </c>
      <c r="AT18" s="9">
        <f t="shared" si="22"/>
        <v>3091.9731697255238</v>
      </c>
      <c r="AU18" s="9">
        <f t="shared" si="22"/>
        <v>3122.8929014227792</v>
      </c>
      <c r="AV18" s="9">
        <f t="shared" si="22"/>
        <v>3154.1218304370072</v>
      </c>
      <c r="AW18" s="9">
        <f t="shared" si="22"/>
        <v>3185.6630487413772</v>
      </c>
      <c r="AX18" s="9">
        <f t="shared" si="22"/>
        <v>3217.5196792287911</v>
      </c>
      <c r="AY18" s="9">
        <f t="shared" si="22"/>
        <v>3249.6948760210789</v>
      </c>
      <c r="AZ18" s="9">
        <f t="shared" si="22"/>
        <v>3282.1918247812896</v>
      </c>
      <c r="BA18" s="9">
        <f t="shared" si="22"/>
        <v>3315.0137430291024</v>
      </c>
      <c r="BB18" s="9">
        <f t="shared" si="22"/>
        <v>3348.1638804593936</v>
      </c>
      <c r="BC18" s="9">
        <f t="shared" si="22"/>
        <v>3381.6455192639874</v>
      </c>
      <c r="BD18" s="9">
        <f t="shared" si="22"/>
        <v>3415.4619744566271</v>
      </c>
      <c r="BE18" s="9">
        <f t="shared" si="22"/>
        <v>3449.6165942011935</v>
      </c>
      <c r="BF18" s="9">
        <f t="shared" si="22"/>
        <v>3484.1127601432054</v>
      </c>
      <c r="BG18" s="9">
        <f t="shared" si="22"/>
        <v>3518.9538877446375</v>
      </c>
      <c r="BH18" s="9">
        <f t="shared" si="22"/>
        <v>3554.143426622084</v>
      </c>
      <c r="BI18" s="9">
        <f t="shared" si="22"/>
        <v>3589.6848608883047</v>
      </c>
      <c r="BJ18" s="9">
        <f t="shared" si="22"/>
        <v>3625.5817094971876</v>
      </c>
      <c r="BK18" s="9">
        <f t="shared" si="22"/>
        <v>3661.8375265921595</v>
      </c>
      <c r="BL18" s="9">
        <f t="shared" si="22"/>
        <v>3698.4559018580812</v>
      </c>
      <c r="BM18" s="9">
        <f t="shared" si="22"/>
        <v>3735.4404608766622</v>
      </c>
      <c r="BN18" s="9">
        <f t="shared" si="22"/>
        <v>3772.794865485429</v>
      </c>
      <c r="BO18" s="9">
        <f t="shared" si="22"/>
        <v>3810.5228141402831</v>
      </c>
      <c r="BP18" s="9">
        <f t="shared" si="22"/>
        <v>3848.6280422816858</v>
      </c>
      <c r="BQ18" s="9">
        <f t="shared" si="22"/>
        <v>3887.1143227045027</v>
      </c>
      <c r="BR18" s="9">
        <f t="shared" si="22"/>
        <v>3925.9854659315479</v>
      </c>
      <c r="BS18" s="9">
        <f t="shared" si="22"/>
        <v>3965.2453205908632</v>
      </c>
      <c r="BT18" s="9">
        <f t="shared" si="22"/>
        <v>4004.8977737967721</v>
      </c>
      <c r="BU18" s="9">
        <f t="shared" si="22"/>
        <v>4044.9467515347396</v>
      </c>
      <c r="BV18" s="9">
        <f t="shared" si="22"/>
        <v>4085.396219050087</v>
      </c>
      <c r="BW18" s="9">
        <f t="shared" si="22"/>
        <v>4126.2501812405881</v>
      </c>
      <c r="BX18" s="9">
        <f t="shared" si="22"/>
        <v>4167.5126830529944</v>
      </c>
      <c r="BY18" s="9">
        <f t="shared" si="22"/>
        <v>4209.1878098835241</v>
      </c>
      <c r="BZ18" s="9">
        <f t="shared" si="22"/>
        <v>4251.2796879823591</v>
      </c>
      <c r="CA18" s="9">
        <f t="shared" si="22"/>
        <v>4293.7924848621824</v>
      </c>
      <c r="CB18" s="9">
        <f t="shared" si="22"/>
        <v>4336.7304097108045</v>
      </c>
      <c r="CC18" s="9">
        <f t="shared" si="22"/>
        <v>4380.0977138079124</v>
      </c>
      <c r="CD18" s="9">
        <f t="shared" si="22"/>
        <v>4423.8986909459918</v>
      </c>
      <c r="CE18" s="9">
        <f t="shared" si="22"/>
        <v>4468.1376778554513</v>
      </c>
      <c r="CF18" s="9">
        <f t="shared" si="22"/>
        <v>4512.8190546340056</v>
      </c>
      <c r="CG18" s="9">
        <f t="shared" si="22"/>
        <v>4557.9472451803458</v>
      </c>
      <c r="CH18" s="9">
        <f t="shared" si="22"/>
        <v>4603.5267176321495</v>
      </c>
      <c r="CI18" s="9">
        <f t="shared" si="22"/>
        <v>4649.5619848084707</v>
      </c>
      <c r="CJ18" s="9">
        <f t="shared" si="22"/>
        <v>4696.0576046565557</v>
      </c>
      <c r="CK18" s="9">
        <f t="shared" si="22"/>
        <v>4743.0181807031213</v>
      </c>
      <c r="CL18" s="9">
        <f t="shared" si="22"/>
        <v>4790.4483625101529</v>
      </c>
      <c r="CM18" s="9">
        <f t="shared" ref="CM18:CN18" si="23">CL18*(1+$AB$3)</f>
        <v>4838.3528461352544</v>
      </c>
      <c r="CN18" s="9">
        <f t="shared" si="23"/>
        <v>4886.7363745966068</v>
      </c>
    </row>
    <row r="20" spans="1:92" x14ac:dyDescent="0.25">
      <c r="A20" s="4" t="s">
        <v>36</v>
      </c>
      <c r="I20" s="4">
        <f>1952+3134+1742-1248-117</f>
        <v>5463</v>
      </c>
      <c r="M20" s="4">
        <f>3138+1905+1188-668-125</f>
        <v>5438</v>
      </c>
    </row>
    <row r="22" spans="1:92" x14ac:dyDescent="0.25">
      <c r="A22" s="4" t="s">
        <v>37</v>
      </c>
      <c r="I22" s="10">
        <f>I8/I6</f>
        <v>0.22709163346613545</v>
      </c>
      <c r="J22" s="10">
        <f t="shared" ref="J22:M22" si="24">J8/J6</f>
        <v>0.29142857142857143</v>
      </c>
      <c r="K22" s="10">
        <f t="shared" si="24"/>
        <v>0.33686067019400351</v>
      </c>
      <c r="L22" s="10">
        <f t="shared" si="24"/>
        <v>0.3902439024390244</v>
      </c>
      <c r="M22" s="10">
        <f t="shared" si="24"/>
        <v>0.42266462480857581</v>
      </c>
      <c r="P22" s="12" t="e">
        <f t="shared" ref="P22:R22" si="25">P8/P6</f>
        <v>#DIV/0!</v>
      </c>
      <c r="Q22" s="12">
        <f t="shared" si="25"/>
        <v>5.3733426378227492E-2</v>
      </c>
      <c r="R22" s="12">
        <f t="shared" si="25"/>
        <v>0.36413734633319206</v>
      </c>
      <c r="S22" s="12">
        <f t="shared" ref="S22:Y22" si="26">S8/S6</f>
        <v>0.45318936416859279</v>
      </c>
      <c r="T22" s="12">
        <f t="shared" si="26"/>
        <v>0.51202518475014669</v>
      </c>
      <c r="U22" s="12">
        <f t="shared" si="26"/>
        <v>0.55638653159104234</v>
      </c>
      <c r="V22" s="12">
        <f t="shared" si="26"/>
        <v>0.59671502871912951</v>
      </c>
      <c r="W22" s="12">
        <f t="shared" si="26"/>
        <v>0.62658798955474948</v>
      </c>
      <c r="X22" s="12">
        <f t="shared" si="26"/>
        <v>0.65424813847662</v>
      </c>
      <c r="Y22" s="12">
        <f t="shared" si="26"/>
        <v>0.67985938747835184</v>
      </c>
    </row>
    <row r="23" spans="1:92" x14ac:dyDescent="0.25">
      <c r="A23" s="4" t="s">
        <v>38</v>
      </c>
      <c r="I23" s="10">
        <f>I13/I6</f>
        <v>-0.46215139442231074</v>
      </c>
      <c r="J23" s="10">
        <f t="shared" ref="J23:M23" si="27">J13/J6</f>
        <v>-0.36761904761904762</v>
      </c>
      <c r="K23" s="10">
        <f t="shared" si="27"/>
        <v>-0.17636684303350969</v>
      </c>
      <c r="L23" s="10">
        <f t="shared" si="27"/>
        <v>-0.10731707317073171</v>
      </c>
      <c r="M23" s="10">
        <f t="shared" si="27"/>
        <v>-7.1975497702909647E-2</v>
      </c>
      <c r="P23" s="12" t="e">
        <f t="shared" ref="P23:R23" si="28">P13/P6</f>
        <v>#DIV/0!</v>
      </c>
      <c r="Q23" s="12">
        <f t="shared" si="28"/>
        <v>-0.91625959525471035</v>
      </c>
      <c r="R23" s="12">
        <f t="shared" si="28"/>
        <v>-0.17253073336159389</v>
      </c>
      <c r="S23" s="12">
        <f t="shared" ref="S23:Y23" si="29">S13/S6</f>
        <v>2.4455454722519731E-3</v>
      </c>
      <c r="T23" s="12">
        <f t="shared" si="29"/>
        <v>0.11911630993822803</v>
      </c>
      <c r="U23" s="12">
        <f t="shared" si="29"/>
        <v>0.20744583744795883</v>
      </c>
      <c r="V23" s="12">
        <f t="shared" si="29"/>
        <v>0.28678625553554349</v>
      </c>
      <c r="W23" s="12">
        <f t="shared" si="29"/>
        <v>0.34617945984836918</v>
      </c>
      <c r="X23" s="12">
        <f t="shared" si="29"/>
        <v>0.40051904093624346</v>
      </c>
      <c r="Y23" s="12">
        <f t="shared" si="29"/>
        <v>0.45024522707164621</v>
      </c>
    </row>
    <row r="25" spans="1:92" x14ac:dyDescent="0.25">
      <c r="A25" s="5" t="s">
        <v>39</v>
      </c>
      <c r="B25" s="5"/>
      <c r="C25" s="5"/>
      <c r="D25" s="5"/>
      <c r="E25" s="5"/>
      <c r="F25" s="5"/>
      <c r="G25" s="5"/>
      <c r="H25" s="5"/>
      <c r="I25" s="5"/>
      <c r="J25" s="13">
        <f t="shared" ref="J25:L25" si="30">J6/F6-1</f>
        <v>1.3026315789473686</v>
      </c>
      <c r="K25" s="13">
        <f t="shared" si="30"/>
        <v>0.76635514018691597</v>
      </c>
      <c r="L25" s="13">
        <f t="shared" si="30"/>
        <v>0.60994764397905765</v>
      </c>
      <c r="M25" s="13">
        <f>M6/I6-1</f>
        <v>0.30079681274900394</v>
      </c>
      <c r="N25" s="5"/>
      <c r="O25" s="5"/>
      <c r="P25" s="5"/>
      <c r="Q25" s="5"/>
      <c r="R25" s="13">
        <f>R6/Q6-1</f>
        <v>0.64619678995115137</v>
      </c>
      <c r="S25" s="13">
        <f t="shared" ref="S25:Y25" si="31">S6/R6-1</f>
        <v>0.22100000000000031</v>
      </c>
      <c r="T25" s="13">
        <f t="shared" si="31"/>
        <v>0.17660000000000031</v>
      </c>
      <c r="U25" s="13">
        <f t="shared" si="31"/>
        <v>0.1549999999999998</v>
      </c>
      <c r="V25" s="13">
        <f t="shared" si="31"/>
        <v>0.15500000000000025</v>
      </c>
      <c r="W25" s="13">
        <f t="shared" si="31"/>
        <v>0.13400000000000012</v>
      </c>
      <c r="X25" s="13">
        <f t="shared" si="31"/>
        <v>0.13400000000000012</v>
      </c>
      <c r="Y25" s="13">
        <f t="shared" si="31"/>
        <v>0.13400000000000034</v>
      </c>
    </row>
    <row r="27" spans="1:92" x14ac:dyDescent="0.25">
      <c r="A27" s="4" t="s">
        <v>40</v>
      </c>
      <c r="F27" s="4">
        <v>4805</v>
      </c>
      <c r="G27" s="4">
        <v>5055</v>
      </c>
      <c r="H27" s="4">
        <v>5080</v>
      </c>
      <c r="I27" s="4">
        <v>4997</v>
      </c>
      <c r="J27" s="4">
        <v>4958</v>
      </c>
      <c r="K27" s="4">
        <v>5243</v>
      </c>
      <c r="L27" s="4">
        <v>5341</v>
      </c>
      <c r="M27" s="4">
        <v>5441</v>
      </c>
    </row>
    <row r="28" spans="1:92" x14ac:dyDescent="0.25">
      <c r="A28" s="4" t="s">
        <v>41</v>
      </c>
      <c r="F28" s="4">
        <v>30.9</v>
      </c>
      <c r="G28" s="4">
        <v>32.6</v>
      </c>
      <c r="H28" s="4">
        <v>33.5</v>
      </c>
      <c r="I28" s="4">
        <v>33.6</v>
      </c>
      <c r="J28" s="4">
        <v>33.299999999999997</v>
      </c>
      <c r="K28" s="4">
        <v>34.9</v>
      </c>
      <c r="L28" s="4">
        <v>36</v>
      </c>
      <c r="M28" s="4">
        <v>37.700000000000003</v>
      </c>
      <c r="Q28" s="4">
        <v>33.6</v>
      </c>
      <c r="R28" s="4">
        <v>37.700000000000003</v>
      </c>
      <c r="S28" s="11">
        <f>R28*1.11</f>
        <v>41.847000000000008</v>
      </c>
      <c r="T28" s="11">
        <f>S28*1.11</f>
        <v>46.450170000000014</v>
      </c>
      <c r="U28" s="11">
        <f t="shared" ref="U28:V28" si="32">T28*1.1</f>
        <v>51.095187000000017</v>
      </c>
      <c r="V28" s="11">
        <f t="shared" si="32"/>
        <v>56.204705700000027</v>
      </c>
      <c r="W28" s="11">
        <f t="shared" ref="W28:Y28" si="33">V28*1.08</f>
        <v>60.701082156000034</v>
      </c>
      <c r="X28" s="11">
        <f t="shared" si="33"/>
        <v>65.557168728480036</v>
      </c>
      <c r="Y28" s="11">
        <f t="shared" si="33"/>
        <v>70.801742226758449</v>
      </c>
    </row>
    <row r="29" spans="1:92" x14ac:dyDescent="0.25">
      <c r="A29" s="4" t="s">
        <v>43</v>
      </c>
      <c r="F29" s="7">
        <f>+F6/F28</f>
        <v>7.3786407766990294</v>
      </c>
      <c r="G29" s="7">
        <f t="shared" ref="G29:M29" si="34">+G6/G28</f>
        <v>9.8466257668711652</v>
      </c>
      <c r="H29" s="7">
        <f t="shared" si="34"/>
        <v>11.402985074626866</v>
      </c>
      <c r="I29" s="7">
        <f t="shared" si="34"/>
        <v>14.94047619047619</v>
      </c>
      <c r="J29" s="7">
        <f t="shared" si="34"/>
        <v>15.765765765765767</v>
      </c>
      <c r="K29" s="7">
        <f t="shared" si="34"/>
        <v>16.246418338108882</v>
      </c>
      <c r="L29" s="7">
        <f t="shared" si="34"/>
        <v>17.083333333333332</v>
      </c>
      <c r="M29" s="7">
        <f t="shared" si="34"/>
        <v>17.320954907161802</v>
      </c>
      <c r="Q29" s="7">
        <f t="shared" ref="Q29:R29" si="35">+Q6/Q28</f>
        <v>42.648809523809526</v>
      </c>
      <c r="R29" s="7">
        <f t="shared" si="35"/>
        <v>62.572944297082223</v>
      </c>
      <c r="S29" s="7">
        <f>R29*1.1</f>
        <v>68.830238726790455</v>
      </c>
      <c r="T29" s="7">
        <f>S29*1.06</f>
        <v>72.960053050397889</v>
      </c>
      <c r="U29" s="7">
        <f t="shared" ref="T29:Y29" si="36">T29*1.05</f>
        <v>76.608055702917781</v>
      </c>
      <c r="V29" s="7">
        <f t="shared" si="36"/>
        <v>80.438458488063674</v>
      </c>
      <c r="W29" s="7">
        <f t="shared" si="36"/>
        <v>84.460381412466859</v>
      </c>
      <c r="X29" s="7">
        <f t="shared" si="36"/>
        <v>88.68340048309021</v>
      </c>
      <c r="Y29" s="7">
        <f t="shared" si="36"/>
        <v>93.117570507244722</v>
      </c>
    </row>
    <row r="31" spans="1:92" x14ac:dyDescent="0.25">
      <c r="A31" s="4" t="s">
        <v>42</v>
      </c>
      <c r="J31" s="6">
        <f t="shared" ref="J31" si="37">J28/F28-1</f>
        <v>7.7669902912621325E-2</v>
      </c>
      <c r="K31" s="6">
        <f t="shared" ref="K31:L31" si="38">K28/G28-1</f>
        <v>7.0552147239263618E-2</v>
      </c>
      <c r="L31" s="6">
        <f t="shared" si="38"/>
        <v>7.4626865671641784E-2</v>
      </c>
      <c r="M31" s="6">
        <f>M28/I28-1</f>
        <v>0.12202380952380953</v>
      </c>
      <c r="R31" s="6">
        <f>R28/Q28-1</f>
        <v>0.12202380952380953</v>
      </c>
      <c r="S31" s="6">
        <f t="shared" ref="S31:Y31" si="39">S28/R28-1</f>
        <v>0.1100000000000001</v>
      </c>
      <c r="T31" s="6">
        <f t="shared" si="39"/>
        <v>0.1100000000000001</v>
      </c>
      <c r="U31" s="6">
        <f t="shared" si="39"/>
        <v>0.10000000000000009</v>
      </c>
      <c r="V31" s="6">
        <f t="shared" si="39"/>
        <v>0.10000000000000009</v>
      </c>
      <c r="W31" s="6">
        <f t="shared" si="39"/>
        <v>8.0000000000000071E-2</v>
      </c>
      <c r="X31" s="6">
        <f t="shared" si="39"/>
        <v>8.0000000000000071E-2</v>
      </c>
      <c r="Y31" s="6">
        <f t="shared" si="39"/>
        <v>8.0000000000000071E-2</v>
      </c>
    </row>
    <row r="33" spans="1:18" x14ac:dyDescent="0.25">
      <c r="A33" s="4" t="s">
        <v>63</v>
      </c>
      <c r="P33" s="4">
        <v>-954</v>
      </c>
      <c r="Q33" s="4">
        <v>-798</v>
      </c>
      <c r="R33" s="4">
        <v>86</v>
      </c>
    </row>
    <row r="34" spans="1:18" x14ac:dyDescent="0.25">
      <c r="A34" s="4" t="s">
        <v>64</v>
      </c>
      <c r="P34" s="4">
        <v>85</v>
      </c>
      <c r="Q34" s="4">
        <v>74</v>
      </c>
      <c r="R34" s="4">
        <v>92</v>
      </c>
    </row>
    <row r="35" spans="1:18" x14ac:dyDescent="0.25">
      <c r="A35" s="4" t="s">
        <v>65</v>
      </c>
      <c r="P35" s="4">
        <f>+P33-P34</f>
        <v>-1039</v>
      </c>
      <c r="Q35" s="4">
        <f t="shared" ref="Q35:R35" si="40">+Q33-Q34</f>
        <v>-872</v>
      </c>
      <c r="R35" s="4">
        <f t="shared" si="40"/>
        <v>-6</v>
      </c>
    </row>
    <row r="36" spans="1:18" x14ac:dyDescent="0.25">
      <c r="A36" s="4" t="s">
        <v>66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Duarte Morais</dc:creator>
  <cp:lastModifiedBy>Alexandre Duarte Morais</cp:lastModifiedBy>
  <dcterms:created xsi:type="dcterms:W3CDTF">2024-03-28T00:06:01Z</dcterms:created>
  <dcterms:modified xsi:type="dcterms:W3CDTF">2024-11-30T13:22:08Z</dcterms:modified>
</cp:coreProperties>
</file>