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469" documentId="8_{0574B7DB-BB6B-43CE-83AC-FEFEA4749555}" xr6:coauthVersionLast="47" xr6:coauthVersionMax="47" xr10:uidLastSave="{CF302427-55CD-405A-9809-0246CEECC6AC}"/>
  <bookViews>
    <workbookView xWindow="-108" yWindow="-108" windowWidth="23256" windowHeight="12456" activeTab="1" xr2:uid="{77CA13AA-A13B-412A-9D3C-EE11A6720613}"/>
  </bookViews>
  <sheets>
    <sheet name="main" sheetId="1" r:id="rId1"/>
    <sheet name="model" sheetId="2" r:id="rId2"/>
    <sheet name="Manageme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1" l="1"/>
  <c r="M7" i="1"/>
  <c r="I26" i="2"/>
  <c r="I44" i="2"/>
  <c r="I18" i="2"/>
  <c r="I8" i="2"/>
  <c r="I31" i="2"/>
  <c r="I30" i="2"/>
  <c r="I29" i="2"/>
  <c r="I28" i="2"/>
  <c r="O44" i="2"/>
  <c r="N44" i="2"/>
  <c r="P44" i="2"/>
  <c r="M44" i="2"/>
  <c r="L44" i="2"/>
  <c r="X24" i="2"/>
  <c r="W24" i="2"/>
  <c r="V24" i="2"/>
  <c r="U24" i="2"/>
  <c r="T24" i="2"/>
  <c r="S24" i="2"/>
  <c r="R24" i="2"/>
  <c r="P24" i="2"/>
  <c r="S21" i="2"/>
  <c r="T21" i="2" s="1"/>
  <c r="U21" i="2" s="1"/>
  <c r="V21" i="2" s="1"/>
  <c r="W21" i="2" s="1"/>
  <c r="X21" i="2" s="1"/>
  <c r="R21" i="2"/>
  <c r="H44" i="2"/>
  <c r="G44" i="2"/>
  <c r="F44" i="2"/>
  <c r="E44" i="2"/>
  <c r="X8" i="2"/>
  <c r="W8" i="2"/>
  <c r="V8" i="2"/>
  <c r="U8" i="2"/>
  <c r="T8" i="2"/>
  <c r="S8" i="2"/>
  <c r="T43" i="2"/>
  <c r="T44" i="2" s="1"/>
  <c r="S44" i="2"/>
  <c r="S43" i="2"/>
  <c r="R8" i="2"/>
  <c r="Q8" i="2"/>
  <c r="Q19" i="2" s="1"/>
  <c r="P8" i="2"/>
  <c r="R44" i="2"/>
  <c r="Q44" i="2"/>
  <c r="P21" i="2"/>
  <c r="Q21" i="2" s="1"/>
  <c r="N16" i="2"/>
  <c r="N18" i="2" s="1"/>
  <c r="N19" i="2" s="1"/>
  <c r="N22" i="2" s="1"/>
  <c r="N24" i="2" s="1"/>
  <c r="O31" i="2"/>
  <c r="O30" i="2"/>
  <c r="O29" i="2"/>
  <c r="O28" i="2"/>
  <c r="O32" i="2"/>
  <c r="N32" i="2"/>
  <c r="M32" i="2"/>
  <c r="L32" i="2"/>
  <c r="K18" i="2"/>
  <c r="K19" i="2" s="1"/>
  <c r="K22" i="2" s="1"/>
  <c r="K24" i="2" s="1"/>
  <c r="K26" i="2" s="1"/>
  <c r="P18" i="2"/>
  <c r="O18" i="2"/>
  <c r="O19" i="2" s="1"/>
  <c r="O34" i="2" s="1"/>
  <c r="M18" i="2"/>
  <c r="M19" i="2" s="1"/>
  <c r="M22" i="2" s="1"/>
  <c r="M24" i="2" s="1"/>
  <c r="L18" i="2"/>
  <c r="L19" i="2" s="1"/>
  <c r="L22" i="2" s="1"/>
  <c r="L24" i="2" s="1"/>
  <c r="M2" i="2"/>
  <c r="N2" i="2" s="1"/>
  <c r="O2" i="2" s="1"/>
  <c r="P2" i="2" s="1"/>
  <c r="Q2" i="2" s="1"/>
  <c r="R2" i="2" s="1"/>
  <c r="S2" i="2" s="1"/>
  <c r="T2" i="2" s="1"/>
  <c r="U2" i="2" s="1"/>
  <c r="V2" i="2" s="1"/>
  <c r="W2" i="2" s="1"/>
  <c r="X2" i="2" s="1"/>
  <c r="G31" i="2"/>
  <c r="G30" i="2"/>
  <c r="G29" i="2"/>
  <c r="G28" i="2"/>
  <c r="H31" i="2"/>
  <c r="H30" i="2"/>
  <c r="H29" i="2"/>
  <c r="H28" i="2"/>
  <c r="D18" i="2"/>
  <c r="G18" i="2"/>
  <c r="F18" i="2"/>
  <c r="E18" i="2"/>
  <c r="C18" i="2"/>
  <c r="H18" i="2"/>
  <c r="G8" i="2"/>
  <c r="F8" i="2"/>
  <c r="E8" i="2"/>
  <c r="D8" i="2"/>
  <c r="C8" i="2"/>
  <c r="H8" i="2"/>
  <c r="M3" i="1" a="1"/>
  <c r="M3" i="1" s="1"/>
  <c r="M5" i="1" s="1"/>
  <c r="M8" i="1" l="1"/>
  <c r="I19" i="2"/>
  <c r="I22" i="2" s="1"/>
  <c r="I24" i="2" s="1"/>
  <c r="I35" i="2" s="1"/>
  <c r="I32" i="2"/>
  <c r="U43" i="2"/>
  <c r="S19" i="2"/>
  <c r="R19" i="2"/>
  <c r="R32" i="2"/>
  <c r="P32" i="2"/>
  <c r="G32" i="2"/>
  <c r="P19" i="2"/>
  <c r="P34" i="2" s="1"/>
  <c r="M34" i="2"/>
  <c r="H19" i="2"/>
  <c r="H34" i="2" s="1"/>
  <c r="D19" i="2"/>
  <c r="D34" i="2" s="1"/>
  <c r="O22" i="2"/>
  <c r="O24" i="2" s="1"/>
  <c r="N35" i="2"/>
  <c r="N26" i="2"/>
  <c r="N34" i="2"/>
  <c r="M35" i="2"/>
  <c r="M26" i="2"/>
  <c r="L35" i="2"/>
  <c r="L26" i="2"/>
  <c r="L34" i="2"/>
  <c r="C19" i="2"/>
  <c r="E19" i="2"/>
  <c r="F19" i="2"/>
  <c r="G19" i="2"/>
  <c r="H32" i="2"/>
  <c r="I34" i="2" l="1"/>
  <c r="U44" i="2"/>
  <c r="V43" i="2"/>
  <c r="Q22" i="2"/>
  <c r="Q32" i="2"/>
  <c r="P22" i="2"/>
  <c r="P23" i="2" s="1"/>
  <c r="S32" i="2"/>
  <c r="D22" i="2"/>
  <c r="D24" i="2" s="1"/>
  <c r="D26" i="2" s="1"/>
  <c r="G22" i="2"/>
  <c r="G24" i="2" s="1"/>
  <c r="G35" i="2" s="1"/>
  <c r="G34" i="2"/>
  <c r="P35" i="2"/>
  <c r="P26" i="2"/>
  <c r="E22" i="2"/>
  <c r="E24" i="2" s="1"/>
  <c r="E35" i="2" s="1"/>
  <c r="E34" i="2"/>
  <c r="C22" i="2"/>
  <c r="C24" i="2" s="1"/>
  <c r="C35" i="2" s="1"/>
  <c r="C34" i="2"/>
  <c r="F22" i="2"/>
  <c r="F24" i="2" s="1"/>
  <c r="F35" i="2" s="1"/>
  <c r="F34" i="2"/>
  <c r="H22" i="2"/>
  <c r="H24" i="2" s="1"/>
  <c r="H35" i="2" s="1"/>
  <c r="O26" i="2"/>
  <c r="O35" i="2"/>
  <c r="Q23" i="2" l="1"/>
  <c r="Q24" i="2" s="1"/>
  <c r="R35" i="2"/>
  <c r="R26" i="2"/>
  <c r="W43" i="2"/>
  <c r="V44" i="2"/>
  <c r="Q34" i="2"/>
  <c r="R34" i="2"/>
  <c r="R22" i="2"/>
  <c r="R23" i="2" s="1"/>
  <c r="D35" i="2"/>
  <c r="H26" i="2"/>
  <c r="Q26" i="2" l="1"/>
  <c r="Q35" i="2"/>
  <c r="X43" i="2"/>
  <c r="X44" i="2" s="1"/>
  <c r="W44" i="2"/>
  <c r="S35" i="2"/>
  <c r="S26" i="2"/>
  <c r="T32" i="2"/>
  <c r="T19" i="2"/>
  <c r="S22" i="2"/>
  <c r="S23" i="2" s="1"/>
  <c r="S34" i="2"/>
  <c r="T35" i="2" l="1"/>
  <c r="T26" i="2"/>
  <c r="U32" i="2"/>
  <c r="U19" i="2"/>
  <c r="V19" i="2"/>
  <c r="T34" i="2"/>
  <c r="T22" i="2"/>
  <c r="T23" i="2" s="1"/>
  <c r="U35" i="2" l="1"/>
  <c r="U26" i="2"/>
  <c r="W19" i="2"/>
  <c r="V32" i="2"/>
  <c r="U22" i="2"/>
  <c r="U23" i="2" s="1"/>
  <c r="U34" i="2"/>
  <c r="V35" i="2" l="1"/>
  <c r="V26" i="2"/>
  <c r="W32" i="2"/>
  <c r="X19" i="2"/>
  <c r="W26" i="2"/>
  <c r="V34" i="2"/>
  <c r="V22" i="2"/>
  <c r="V23" i="2" s="1"/>
  <c r="W35" i="2" l="1"/>
  <c r="W34" i="2"/>
  <c r="W22" i="2"/>
  <c r="W23" i="2" s="1"/>
  <c r="X32" i="2"/>
  <c r="X26" i="2"/>
  <c r="Y24" i="2" l="1"/>
  <c r="Z24" i="2" s="1"/>
  <c r="AA24" i="2" s="1"/>
  <c r="AB24" i="2" s="1"/>
  <c r="AC24" i="2" s="1"/>
  <c r="AD24" i="2" s="1"/>
  <c r="AE24" i="2" s="1"/>
  <c r="AF24" i="2" s="1"/>
  <c r="AG24" i="2" s="1"/>
  <c r="AH24" i="2" s="1"/>
  <c r="AI24" i="2" s="1"/>
  <c r="AJ24" i="2" s="1"/>
  <c r="AK24" i="2" s="1"/>
  <c r="AL24" i="2" s="1"/>
  <c r="AM24" i="2" s="1"/>
  <c r="AN24" i="2" s="1"/>
  <c r="AO24" i="2" s="1"/>
  <c r="AP24" i="2" s="1"/>
  <c r="AQ24" i="2" s="1"/>
  <c r="AR24" i="2" s="1"/>
  <c r="AS24" i="2" s="1"/>
  <c r="AT24" i="2" s="1"/>
  <c r="AU24" i="2" s="1"/>
  <c r="AV24" i="2" s="1"/>
  <c r="AW24" i="2" s="1"/>
  <c r="AX24" i="2" s="1"/>
  <c r="AY24" i="2" s="1"/>
  <c r="AZ24" i="2" s="1"/>
  <c r="BA24" i="2" s="1"/>
  <c r="BB24" i="2" s="1"/>
  <c r="BC24" i="2" s="1"/>
  <c r="BD24" i="2" s="1"/>
  <c r="BE24" i="2" s="1"/>
  <c r="BF24" i="2" s="1"/>
  <c r="BG24" i="2" s="1"/>
  <c r="BH24" i="2" s="1"/>
  <c r="BI24" i="2" s="1"/>
  <c r="BJ24" i="2" s="1"/>
  <c r="BK24" i="2" s="1"/>
  <c r="BL24" i="2" s="1"/>
  <c r="X35" i="2"/>
  <c r="X34" i="2"/>
  <c r="X22" i="2"/>
  <c r="X23" i="2" s="1"/>
  <c r="AA5" i="2" l="1"/>
  <c r="AA6" i="2" s="1"/>
  <c r="AA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P43" authorId="0" shapeId="0" xr:uid="{0D365D2E-6D06-4EEF-8A41-92F47FA1A80D}">
      <text>
        <r>
          <rPr>
            <b/>
            <sz val="9"/>
            <color indexed="81"/>
            <rFont val="Tahoma"/>
            <family val="2"/>
          </rPr>
          <t>alexa:</t>
        </r>
        <r>
          <rPr>
            <sz val="9"/>
            <color indexed="81"/>
            <rFont val="Tahoma"/>
            <family val="2"/>
          </rPr>
          <t xml:space="preserve">
4,55 to 4,65billion</t>
        </r>
      </text>
    </comment>
    <comment ref="Q43" authorId="0" shapeId="0" xr:uid="{3D57BE0D-5D22-4157-A34D-0F7008A4B1BD}">
      <text>
        <r>
          <rPr>
            <b/>
            <sz val="9"/>
            <color indexed="81"/>
            <rFont val="Tahoma"/>
            <family val="2"/>
          </rPr>
          <t>alexa:</t>
        </r>
        <r>
          <rPr>
            <sz val="9"/>
            <color indexed="81"/>
            <rFont val="Tahoma"/>
            <family val="2"/>
          </rPr>
          <t xml:space="preserve">
5,3 to 5,6 billion</t>
        </r>
      </text>
    </comment>
    <comment ref="R43" authorId="0" shapeId="0" xr:uid="{DFDC2DE0-B3A6-47A6-93F1-68074964C5A5}">
      <text>
        <r>
          <rPr>
            <b/>
            <sz val="9"/>
            <color indexed="81"/>
            <rFont val="Tahoma"/>
            <family val="2"/>
          </rPr>
          <t>alexa:</t>
        </r>
        <r>
          <rPr>
            <sz val="9"/>
            <color indexed="81"/>
            <rFont val="Tahoma"/>
            <family val="2"/>
          </rPr>
          <t xml:space="preserve">
6-6,4billion </t>
        </r>
      </text>
    </comment>
    <comment ref="P45" authorId="0" shapeId="0" xr:uid="{C677B490-0AD5-4645-92BE-CBD836BD6232}">
      <text>
        <r>
          <rPr>
            <b/>
            <sz val="9"/>
            <color indexed="81"/>
            <rFont val="Tahoma"/>
            <family val="2"/>
          </rPr>
          <t>alexa:</t>
        </r>
        <r>
          <rPr>
            <sz val="9"/>
            <color indexed="81"/>
            <rFont val="Tahoma"/>
            <family val="2"/>
          </rPr>
          <t xml:space="preserve">
33 to 35%</t>
        </r>
      </text>
    </comment>
    <comment ref="Q45" authorId="0" shapeId="0" xr:uid="{D5B9C08D-87E1-47D1-A9EB-C2924FDD3B97}">
      <text>
        <r>
          <rPr>
            <b/>
            <sz val="9"/>
            <color indexed="81"/>
            <rFont val="Tahoma"/>
            <family val="2"/>
          </rPr>
          <t>alexa:</t>
        </r>
        <r>
          <rPr>
            <sz val="9"/>
            <color indexed="81"/>
            <rFont val="Tahoma"/>
            <family val="2"/>
          </rPr>
          <t xml:space="preserve">
31,25 to 33,25%</t>
        </r>
      </text>
    </comment>
    <comment ref="R45" authorId="0" shapeId="0" xr:uid="{B4E65B2A-D664-4AF9-92F2-BD3752A3DCF5}">
      <text>
        <r>
          <rPr>
            <b/>
            <sz val="9"/>
            <color indexed="81"/>
            <rFont val="Tahoma"/>
            <family val="2"/>
          </rPr>
          <t>alexa:</t>
        </r>
        <r>
          <rPr>
            <sz val="9"/>
            <color indexed="81"/>
            <rFont val="Tahoma"/>
            <family val="2"/>
          </rPr>
          <t xml:space="preserve">
29,5 to 31,5%</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<sst xmlns="http://schemas.openxmlformats.org/spreadsheetml/2006/main" count="76" uniqueCount="70">
  <si>
    <t>Ticket</t>
  </si>
  <si>
    <t>Price</t>
  </si>
  <si>
    <t>Shares</t>
  </si>
  <si>
    <t>MC</t>
  </si>
  <si>
    <t>Cash</t>
  </si>
  <si>
    <t>Debt</t>
  </si>
  <si>
    <t>EV</t>
  </si>
  <si>
    <t>main</t>
  </si>
  <si>
    <t>Interest Income</t>
  </si>
  <si>
    <t>Lease</t>
  </si>
  <si>
    <t>Comissions</t>
  </si>
  <si>
    <t>Charges and fees</t>
  </si>
  <si>
    <t>Revenue</t>
  </si>
  <si>
    <t>Q1 2023</t>
  </si>
  <si>
    <t>Q2 2023</t>
  </si>
  <si>
    <t>Q3 2023</t>
  </si>
  <si>
    <t>Q4 2023</t>
  </si>
  <si>
    <t>Q1 2024</t>
  </si>
  <si>
    <t>Q2 2024</t>
  </si>
  <si>
    <t>Bad Debts</t>
  </si>
  <si>
    <t>Salaries and benefits</t>
  </si>
  <si>
    <t>SBC</t>
  </si>
  <si>
    <t>Tech costs</t>
  </si>
  <si>
    <t>Ads and promotion</t>
  </si>
  <si>
    <t>Occupancy</t>
  </si>
  <si>
    <t>Underwriting and collections</t>
  </si>
  <si>
    <t>Other opex</t>
  </si>
  <si>
    <t>D&amp;A</t>
  </si>
  <si>
    <t>Total Opex</t>
  </si>
  <si>
    <t>Operating Income</t>
  </si>
  <si>
    <t>Other income</t>
  </si>
  <si>
    <t>Finance costs</t>
  </si>
  <si>
    <t>Pretax Income</t>
  </si>
  <si>
    <t>Taxes</t>
  </si>
  <si>
    <t>Net Income</t>
  </si>
  <si>
    <t>Revenue y/y</t>
  </si>
  <si>
    <t>Operating Margin</t>
  </si>
  <si>
    <t>Net Margin</t>
  </si>
  <si>
    <t>EPS</t>
  </si>
  <si>
    <t>FCF</t>
  </si>
  <si>
    <t>Products</t>
  </si>
  <si>
    <t>Unsecured Personal Loans</t>
  </si>
  <si>
    <t>Secured Personal Loans</t>
  </si>
  <si>
    <t>Point-of-Sale Financing</t>
  </si>
  <si>
    <t>Automotive Financing</t>
  </si>
  <si>
    <t>Leasing</t>
  </si>
  <si>
    <t>CFFO</t>
  </si>
  <si>
    <t>CAPEX</t>
  </si>
  <si>
    <t>Discount</t>
  </si>
  <si>
    <t>Maturity</t>
  </si>
  <si>
    <t>NPV</t>
  </si>
  <si>
    <t>Upside</t>
  </si>
  <si>
    <t>Founded</t>
  </si>
  <si>
    <t>Founder</t>
  </si>
  <si>
    <t>CEO</t>
  </si>
  <si>
    <t>HQ</t>
  </si>
  <si>
    <t>IPO</t>
  </si>
  <si>
    <t>Industry</t>
  </si>
  <si>
    <t>Employees</t>
  </si>
  <si>
    <t>Clients</t>
  </si>
  <si>
    <t>avg Interest rate</t>
  </si>
  <si>
    <t>Mississauga, Ontario, Canada</t>
  </si>
  <si>
    <t>Jason Mullins</t>
  </si>
  <si>
    <t>Non-prime loans</t>
  </si>
  <si>
    <t>Insider ownership</t>
  </si>
  <si>
    <t>Consumer Loan portfolio value</t>
  </si>
  <si>
    <t>y/y</t>
  </si>
  <si>
    <t>Competitors</t>
  </si>
  <si>
    <t>Dividend per share</t>
  </si>
  <si>
    <t>Q3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</si>
</sst>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1009]* #,##0.00_-;\-[$$-1009]* #,##0.00_-;_-[$$-1009]* &quot;-&quot;??_-;_-@_-"/>
    <numFmt numFmtId="165" formatCode="_ * #,##0.00_ \ [$$-C0C]_ ;_ * \-#,##0.00\ \ [$$-C0C]_ ;_ * &quot;-&quot;??_ \ [$$-C0C]_ ;_ @_ "/>
    <numFmt numFmtId="166" formatCode="#,##0_ ;[Red]\-#,##0\ "/>
    <numFmt numFmtId="167" formatCode="0.0%"/>
    <numFmt numFmtId="168" formatCode="#,##0.00\ [$$-C0C]"/>
  </numFmts>
  <fonts count="7"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u/>
      <sz val="10"/>
      <color theme="10"/>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164" fontId="1" fillId="0" borderId="0" xfId="0" applyNumberFormat="1" applyFont="1"/>
    <xf numFmtId="3" fontId="1" fillId="0" borderId="0" xfId="0" applyNumberFormat="1" applyFont="1"/>
    <xf numFmtId="0" fontId="4" fillId="0" borderId="0" xfId="1" applyFont="1"/>
    <xf numFmtId="3" fontId="2" fillId="0" borderId="0" xfId="0" applyNumberFormat="1" applyFont="1"/>
    <xf numFmtId="9" fontId="1" fillId="0" borderId="0" xfId="0" applyNumberFormat="1" applyFont="1"/>
    <xf numFmtId="9" fontId="2"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0" fontId="1" fillId="0" borderId="0" xfId="0" applyFont="1" applyAlignment="1">
      <alignment horizontal="left" vertical="top"/>
    </xf>
    <xf numFmtId="10" fontId="1" fillId="0" borderId="0" xfId="0" applyNumberFormat="1" applyFont="1"/>
    <xf numFmtId="10" fontId="1" fillId="0" borderId="0" xfId="0"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14</xdr:col>
      <xdr:colOff>617220</xdr:colOff>
      <xdr:row>0</xdr:row>
      <xdr:rowOff>0</xdr:rowOff>
    </xdr:from>
    <xdr:to>
      <xdr:col>15</xdr:col>
      <xdr:colOff>7620</xdr:colOff>
      <xdr:row>44</xdr:row>
      <xdr:rowOff>83820</xdr:rowOff>
    </xdr:to>
    <xdr:cxnSp macro="">
      <xdr:nvCxnSpPr>
        <xdr:cNvPr id="3" name="Straight Connector 2">
          <a:extLst>
            <a:ext uri="{FF2B5EF4-FFF2-40B4-BE49-F238E27FC236}">
              <a16:creationId xmlns:a16="http://schemas.microsoft.com/office/drawing/2014/main" id="{FCE6B93D-A096-8D0F-9A64-C3DB9CDB5406}"/>
            </a:ext>
          </a:extLst>
        </xdr:cNvPr>
        <xdr:cNvCxnSpPr/>
      </xdr:nvCxnSpPr>
      <xdr:spPr>
        <a:xfrm>
          <a:off x="9509760" y="0"/>
          <a:ext cx="15240" cy="72923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632113</xdr:colOff>
      <xdr:row>0</xdr:row>
      <xdr:rowOff>18541</xdr:rowOff>
    </xdr:from>
    <xdr:to>
      <xdr:col>9</xdr:col>
      <xdr:colOff>10869</xdr:colOff>
      <xdr:row>51</xdr:row>
      <xdr:rowOff>145952</xdr:rowOff>
    </xdr:to>
    <xdr:cxnSp macro="">
      <xdr:nvCxnSpPr>
        <xdr:cNvPr id="4" name="Straight Connector 3">
          <a:extLst>
            <a:ext uri="{FF2B5EF4-FFF2-40B4-BE49-F238E27FC236}">
              <a16:creationId xmlns:a16="http://schemas.microsoft.com/office/drawing/2014/main" id="{36D1302A-C343-D110-85C3-92A427747188}"/>
            </a:ext>
          </a:extLst>
        </xdr:cNvPr>
        <xdr:cNvCxnSpPr/>
      </xdr:nvCxnSpPr>
      <xdr:spPr>
        <a:xfrm flipH="1">
          <a:off x="6624204" y="18541"/>
          <a:ext cx="10870" cy="8959684"/>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https://www.bing.com/financeapi/forcetrigger?t=aaygnm&amp;q=XTSE%3aGSY&amp;form=skydnc</v>
    <v>Learn more on Bing</v>
  </rv>
  <rv s="1">
    <v>en-GB</v>
    <v>aaygnm</v>
    <v>268435456</v>
    <v>1</v>
    <v>Powered by Refinitiv</v>
    <v>0</v>
    <v>goeasy Ltd. (XTSE:GSY)</v>
    <v>2</v>
    <v>3</v>
    <v>Finance</v>
    <v>4</v>
    <v>206.02</v>
    <v>147.32499999999999</v>
    <v>1.7908999999999999</v>
    <v>-1.93</v>
    <v>-1.1507E-2</v>
    <v>CAD</v>
    <v>goeasy Ltd. is a Canadian company that provides non-prime leasing and lending services through its easyhome, easyfinancial, and LendCare brands. The Company's segments include easyfinancial and easyhome. The easyfinancial segment lends out capital in the form of unsecured and secured consumer loans to non-prime borrowers. easyfinancial's product offering consists of unsecured and real estate secured instalment loans. The LendCare operating segment specializes in financing consumer purchases in the powersports, automotive, retail, healthcare, and home improvement categories. The easyhome segment provides leasing services for household furniture, appliances and electronics and unsecured lending products to retail consumers. Its customers can transact seamlessly through an omnichannel model that includes online and mobile platforms, over 400 locations across Canada, and point-of-sale financing offered in the retail, powersports, automotive, home improvement, and healthcare verticals.</v>
    <v>2463</v>
    <v>Toronto Stock Exchange</v>
    <v>XTSE</v>
    <v>XTSE</v>
    <v>33 City Centre Dr, 5th floor,, MISSISSAUGA, ON, L5B 2N5 CA</v>
    <v>168.5</v>
    <v>Banking Services</v>
    <v>Stock</v>
    <v>45635.629976851851</v>
    <v>0</v>
    <v>165.62</v>
    <v>2809393000</v>
    <v>goeasy Ltd.</v>
    <v>goeasy Ltd.</v>
    <v>168.5</v>
    <v>10.2369</v>
    <v>167.73</v>
    <v>165.8</v>
    <v>16749490</v>
    <v>GSY</v>
    <v>goeasy Ltd. (XTSE:GSY)</v>
    <v>12139</v>
    <v>47840</v>
    <v>1990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20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#,##0.00_-;-[$$-en-CA]* #,##0.00_-;_-[$$-en-CA]* "-"??_-;_-@_-</rpv>
    </rSty>
    <rSty dxfid="5">
      <rpv i="0">#,##0.00</rpv>
    </rSty>
    <rSty>
      <rpv i="1">1</rpv>
    </rSty>
    <rSty dxfid="4">
      <rpv i="0">#,##0</rpv>
    </rSty>
    <rSty dxfid="3"/>
    <rSty dxfid="1">
      <rpv i="0">_-[$$-en-CA]* #,##0_-;-[$$-en-CA]* #,##0_-;_-[$$-en-CA]*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6D440-99C0-4CE1-8FE3-3BC0CF60E8AE}">
  <dimension ref="E2:M10"/>
  <sheetViews>
    <sheetView topLeftCell="C1" workbookViewId="0">
      <selection activeCell="J9" sqref="J9"/>
    </sheetView>
  </sheetViews>
  <sheetFormatPr defaultColWidth="9.109375" defaultRowHeight="13.2" x14ac:dyDescent="0.25"/>
  <cols>
    <col min="1" max="3" width="9.109375" style="1"/>
    <col min="4" max="4" width="4.33203125" style="1" customWidth="1"/>
    <col min="5" max="8" width="9.109375" style="1"/>
    <col min="9" max="9" width="16.6640625" style="1" bestFit="1" customWidth="1"/>
    <col min="10" max="10" width="18.109375" style="1" bestFit="1" customWidth="1"/>
    <col min="11" max="16384" width="9.109375" style="1"/>
  </cols>
  <sheetData>
    <row r="2" spans="5:13" x14ac:dyDescent="0.25">
      <c r="E2" s="2" t="s">
        <v>40</v>
      </c>
      <c r="I2" s="2" t="s">
        <v>52</v>
      </c>
      <c r="J2" s="13">
        <v>1990</v>
      </c>
      <c r="L2" s="2" t="s">
        <v>0</v>
      </c>
      <c r="M2" s="1" t="e" vm="1">
        <v>#VALUE!</v>
      </c>
    </row>
    <row r="3" spans="5:13" x14ac:dyDescent="0.25">
      <c r="E3" s="1" t="s">
        <v>41</v>
      </c>
      <c r="I3" s="2" t="s">
        <v>53</v>
      </c>
      <c r="J3" s="13"/>
      <c r="L3" s="2" t="s">
        <v>1</v>
      </c>
      <c r="M3" s="3" cm="1">
        <f t="array" aca="1" ref="M3" ca="1">+_FV(M2,"Price")</f>
        <v>165.8</v>
      </c>
    </row>
    <row r="4" spans="5:13" x14ac:dyDescent="0.25">
      <c r="E4" s="1" t="s">
        <v>42</v>
      </c>
      <c r="I4" s="2" t="s">
        <v>54</v>
      </c>
      <c r="J4" s="13" t="s">
        <v>62</v>
      </c>
      <c r="L4" s="2" t="s">
        <v>2</v>
      </c>
      <c r="M4" s="1">
        <v>17.376999999999999</v>
      </c>
    </row>
    <row r="5" spans="5:13" x14ac:dyDescent="0.25">
      <c r="E5" s="1" t="s">
        <v>43</v>
      </c>
      <c r="I5" s="2" t="s">
        <v>55</v>
      </c>
      <c r="J5" s="13" t="s">
        <v>61</v>
      </c>
      <c r="L5" s="2" t="s">
        <v>3</v>
      </c>
      <c r="M5" s="4">
        <f ca="1">+M3*M4</f>
        <v>2881.1066000000001</v>
      </c>
    </row>
    <row r="6" spans="5:13" x14ac:dyDescent="0.25">
      <c r="E6" s="1" t="s">
        <v>44</v>
      </c>
      <c r="I6" s="2" t="s">
        <v>56</v>
      </c>
      <c r="J6" s="13">
        <v>1993</v>
      </c>
      <c r="L6" s="2" t="s">
        <v>4</v>
      </c>
      <c r="M6" s="4">
        <f>165.918+54.326+35.638</f>
        <v>255.88200000000001</v>
      </c>
    </row>
    <row r="7" spans="5:13" x14ac:dyDescent="0.25">
      <c r="E7" s="1" t="s">
        <v>45</v>
      </c>
      <c r="I7" s="2" t="s">
        <v>57</v>
      </c>
      <c r="J7" s="13" t="s">
        <v>63</v>
      </c>
      <c r="L7" s="2" t="s">
        <v>5</v>
      </c>
      <c r="M7" s="4">
        <f>131.729+1697.135</f>
        <v>1828.864</v>
      </c>
    </row>
    <row r="8" spans="5:13" x14ac:dyDescent="0.25">
      <c r="I8" s="2" t="s">
        <v>58</v>
      </c>
      <c r="J8" s="13"/>
      <c r="L8" s="2" t="s">
        <v>6</v>
      </c>
      <c r="M8" s="4">
        <f ca="1">+M5-M6+M7</f>
        <v>4454.0886</v>
      </c>
    </row>
    <row r="9" spans="5:13" x14ac:dyDescent="0.25">
      <c r="I9" s="2" t="s">
        <v>64</v>
      </c>
      <c r="J9" s="15">
        <v>0.2205</v>
      </c>
    </row>
    <row r="10" spans="5:13" x14ac:dyDescent="0.25">
      <c r="E10" s="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B376B-E9F6-47B1-9584-D5A1FD31D480}">
  <dimension ref="A1:BL47"/>
  <sheetViews>
    <sheetView tabSelected="1" zoomScaleNormal="100" workbookViewId="0">
      <pane xSplit="2" ySplit="2" topLeftCell="O3" activePane="bottomRight" state="frozen"/>
      <selection pane="topRight" activeCell="C1" sqref="C1"/>
      <selection pane="bottomLeft" activeCell="A3" sqref="A3"/>
      <selection pane="bottomRight" activeCell="E47" sqref="E47"/>
    </sheetView>
  </sheetViews>
  <sheetFormatPr defaultColWidth="9.109375" defaultRowHeight="13.2" x14ac:dyDescent="0.25"/>
  <cols>
    <col min="1" max="1" width="4.88671875" style="1" bestFit="1" customWidth="1"/>
    <col min="2" max="2" width="27.109375" style="1" bestFit="1" customWidth="1"/>
    <col min="3" max="26" width="9.109375" style="1"/>
    <col min="27" max="27" width="9.6640625" style="1" bestFit="1" customWidth="1"/>
    <col min="28" max="16384" width="9.109375" style="1"/>
  </cols>
  <sheetData>
    <row r="1" spans="1:27" x14ac:dyDescent="0.25">
      <c r="A1" s="5" t="s">
        <v>7</v>
      </c>
    </row>
    <row r="2" spans="1:27" x14ac:dyDescent="0.25">
      <c r="C2" s="2" t="s">
        <v>13</v>
      </c>
      <c r="D2" s="2" t="s">
        <v>14</v>
      </c>
      <c r="E2" s="2" t="s">
        <v>15</v>
      </c>
      <c r="F2" s="2" t="s">
        <v>16</v>
      </c>
      <c r="G2" s="2" t="s">
        <v>17</v>
      </c>
      <c r="H2" s="2" t="s">
        <v>18</v>
      </c>
      <c r="I2" s="2" t="s">
        <v>69</v>
      </c>
      <c r="K2" s="2">
        <v>2019</v>
      </c>
      <c r="L2" s="2">
        <v>2020</v>
      </c>
      <c r="M2" s="2">
        <f>+L2+1</f>
        <v>2021</v>
      </c>
      <c r="N2" s="2">
        <f t="shared" ref="N2:V2" si="0">+M2+1</f>
        <v>2022</v>
      </c>
      <c r="O2" s="2">
        <f t="shared" si="0"/>
        <v>2023</v>
      </c>
      <c r="P2" s="2">
        <f t="shared" si="0"/>
        <v>2024</v>
      </c>
      <c r="Q2" s="2">
        <f t="shared" si="0"/>
        <v>2025</v>
      </c>
      <c r="R2" s="2">
        <f t="shared" si="0"/>
        <v>2026</v>
      </c>
      <c r="S2" s="2">
        <f t="shared" si="0"/>
        <v>2027</v>
      </c>
      <c r="T2" s="2">
        <f t="shared" si="0"/>
        <v>2028</v>
      </c>
      <c r="U2" s="2">
        <f t="shared" si="0"/>
        <v>2029</v>
      </c>
      <c r="V2" s="2">
        <f t="shared" si="0"/>
        <v>2030</v>
      </c>
      <c r="W2" s="2">
        <f t="shared" ref="W2" si="1">+V2+1</f>
        <v>2031</v>
      </c>
      <c r="X2" s="2">
        <f t="shared" ref="X2" si="2">+W2+1</f>
        <v>2032</v>
      </c>
    </row>
    <row r="3" spans="1:27" x14ac:dyDescent="0.25">
      <c r="B3" s="1" t="s">
        <v>8</v>
      </c>
      <c r="C3" s="4">
        <v>201.428</v>
      </c>
      <c r="D3" s="4">
        <v>213.56299999999999</v>
      </c>
      <c r="E3" s="4">
        <v>229.26900000000001</v>
      </c>
      <c r="F3" s="4">
        <v>244.66800000000001</v>
      </c>
      <c r="G3" s="4">
        <v>260.072</v>
      </c>
      <c r="H3" s="4">
        <v>274.72199999999998</v>
      </c>
      <c r="I3" s="4">
        <v>282.66500000000002</v>
      </c>
      <c r="K3" s="4"/>
      <c r="L3" s="4"/>
      <c r="M3" s="4"/>
      <c r="N3" s="4">
        <v>698.15</v>
      </c>
      <c r="O3" s="4">
        <v>888.928</v>
      </c>
      <c r="P3" s="4"/>
      <c r="Z3" s="1" t="s">
        <v>48</v>
      </c>
      <c r="AA3" s="11">
        <v>0.1</v>
      </c>
    </row>
    <row r="4" spans="1:27" x14ac:dyDescent="0.25">
      <c r="B4" s="1" t="s">
        <v>9</v>
      </c>
      <c r="C4" s="4">
        <v>25.565000000000001</v>
      </c>
      <c r="D4" s="4">
        <v>25.052</v>
      </c>
      <c r="E4" s="4">
        <v>24.54</v>
      </c>
      <c r="F4" s="4">
        <v>24.690999999999999</v>
      </c>
      <c r="G4" s="4">
        <v>24.741</v>
      </c>
      <c r="H4" s="4">
        <v>24.013999999999999</v>
      </c>
      <c r="I4" s="4">
        <v>23.439</v>
      </c>
      <c r="K4" s="4"/>
      <c r="L4" s="4"/>
      <c r="M4" s="4"/>
      <c r="N4" s="4">
        <v>103.414</v>
      </c>
      <c r="O4" s="4">
        <v>99.847999999999999</v>
      </c>
      <c r="P4" s="4"/>
      <c r="Z4" s="1" t="s">
        <v>49</v>
      </c>
      <c r="AA4" s="7">
        <v>0.02</v>
      </c>
    </row>
    <row r="5" spans="1:27" x14ac:dyDescent="0.25">
      <c r="B5" s="1" t="s">
        <v>10</v>
      </c>
      <c r="C5" s="4">
        <v>53.915999999999997</v>
      </c>
      <c r="D5" s="4">
        <v>57.531999999999996</v>
      </c>
      <c r="E5" s="4">
        <v>61.527000000000001</v>
      </c>
      <c r="F5" s="4">
        <v>61.51</v>
      </c>
      <c r="G5" s="4">
        <v>63.963999999999999</v>
      </c>
      <c r="H5" s="4">
        <v>70.966999999999999</v>
      </c>
      <c r="I5" s="4">
        <v>69.703000000000003</v>
      </c>
      <c r="K5" s="4"/>
      <c r="L5" s="4"/>
      <c r="M5" s="4"/>
      <c r="N5" s="4">
        <v>197.15899999999999</v>
      </c>
      <c r="O5" s="4">
        <v>234.48500000000001</v>
      </c>
      <c r="P5" s="4"/>
      <c r="Z5" s="1" t="s">
        <v>50</v>
      </c>
      <c r="AA5" s="10">
        <f>+NPV(AA3,P24:BL24)+main!M6-main!M7</f>
        <v>6375.3877118515193</v>
      </c>
    </row>
    <row r="6" spans="1:27" x14ac:dyDescent="0.25">
      <c r="B6" s="1" t="s">
        <v>11</v>
      </c>
      <c r="C6" s="4">
        <v>6.3879999999999999</v>
      </c>
      <c r="D6" s="4">
        <v>6.7809999999999997</v>
      </c>
      <c r="E6" s="4">
        <v>6.3959999999999999</v>
      </c>
      <c r="F6" s="4">
        <v>7.2430000000000003</v>
      </c>
      <c r="G6" s="4">
        <v>8.3369999999999997</v>
      </c>
      <c r="H6" s="4">
        <v>8.0920000000000005</v>
      </c>
      <c r="I6" s="4">
        <v>7.3879999999999999</v>
      </c>
      <c r="K6" s="4"/>
      <c r="L6" s="4"/>
      <c r="M6" s="4"/>
      <c r="N6" s="4">
        <v>20.613</v>
      </c>
      <c r="O6" s="4">
        <v>26.808</v>
      </c>
      <c r="P6" s="4"/>
      <c r="Z6" s="1" t="s">
        <v>1</v>
      </c>
      <c r="AA6" s="12">
        <f>+AA5/H25</f>
        <v>366.88655762510905</v>
      </c>
    </row>
    <row r="7" spans="1:27" x14ac:dyDescent="0.25">
      <c r="C7" s="4"/>
      <c r="D7" s="4"/>
      <c r="E7" s="4"/>
      <c r="F7" s="4"/>
      <c r="G7" s="4"/>
      <c r="H7" s="4"/>
      <c r="Z7" s="1" t="s">
        <v>51</v>
      </c>
      <c r="AA7" s="7">
        <f ca="1">+AA6/main!M3-1</f>
        <v>1.2128260411647105</v>
      </c>
    </row>
    <row r="8" spans="1:27" s="2" customFormat="1" x14ac:dyDescent="0.25">
      <c r="A8" s="1"/>
      <c r="B8" s="2" t="s">
        <v>12</v>
      </c>
      <c r="C8" s="6">
        <f t="shared" ref="C8:G8" si="3">+SUM(C3:C6)</f>
        <v>287.29699999999997</v>
      </c>
      <c r="D8" s="6">
        <f t="shared" si="3"/>
        <v>302.928</v>
      </c>
      <c r="E8" s="6">
        <f t="shared" si="3"/>
        <v>321.73200000000003</v>
      </c>
      <c r="F8" s="6">
        <f t="shared" si="3"/>
        <v>338.11199999999997</v>
      </c>
      <c r="G8" s="6">
        <f t="shared" si="3"/>
        <v>357.11399999999998</v>
      </c>
      <c r="H8" s="6">
        <f>+SUM(H3:H6)</f>
        <v>377.79499999999996</v>
      </c>
      <c r="I8" s="6">
        <f t="shared" ref="I8" si="4">+SUM(I3:I6)</f>
        <v>383.19499999999999</v>
      </c>
      <c r="K8" s="6">
        <v>609.38300000000004</v>
      </c>
      <c r="L8" s="6">
        <v>652.92200000000003</v>
      </c>
      <c r="M8" s="6">
        <v>826.72199999999998</v>
      </c>
      <c r="N8" s="6">
        <v>1019.336</v>
      </c>
      <c r="O8" s="6">
        <v>1250.069</v>
      </c>
      <c r="P8" s="6">
        <f>+P43*P45</f>
        <v>1564</v>
      </c>
      <c r="Q8" s="6">
        <f t="shared" ref="Q8:X8" si="5">+Q43*Q45</f>
        <v>1806</v>
      </c>
      <c r="R8" s="6">
        <f t="shared" si="5"/>
        <v>1875.5</v>
      </c>
      <c r="S8" s="6">
        <f t="shared" si="5"/>
        <v>2046.0000000000002</v>
      </c>
      <c r="T8" s="6">
        <f t="shared" si="5"/>
        <v>2250.6000000000004</v>
      </c>
      <c r="U8" s="6">
        <f t="shared" si="5"/>
        <v>2475.6600000000008</v>
      </c>
      <c r="V8" s="6">
        <f t="shared" si="5"/>
        <v>2723.226000000001</v>
      </c>
      <c r="W8" s="6">
        <f t="shared" si="5"/>
        <v>2995.5486000000014</v>
      </c>
      <c r="X8" s="6">
        <f t="shared" si="5"/>
        <v>3295.1034600000021</v>
      </c>
    </row>
    <row r="9" spans="1:27" x14ac:dyDescent="0.25">
      <c r="B9" s="1" t="s">
        <v>19</v>
      </c>
      <c r="C9" s="4">
        <v>75.896000000000001</v>
      </c>
      <c r="D9" s="4">
        <v>84.634</v>
      </c>
      <c r="E9" s="4">
        <v>89.539000000000001</v>
      </c>
      <c r="F9" s="4">
        <v>91.57</v>
      </c>
      <c r="G9" s="4">
        <v>105.19499999999999</v>
      </c>
      <c r="H9" s="4">
        <v>112.499</v>
      </c>
      <c r="I9" s="4">
        <v>121.092</v>
      </c>
      <c r="K9" s="4"/>
      <c r="L9" s="4"/>
      <c r="M9" s="4"/>
      <c r="N9" s="4">
        <v>272.89299999999997</v>
      </c>
      <c r="O9" s="4">
        <v>341.63900000000001</v>
      </c>
      <c r="P9" s="4"/>
      <c r="R9" s="4"/>
      <c r="S9" s="4"/>
      <c r="T9" s="4"/>
      <c r="U9" s="4"/>
      <c r="V9" s="4"/>
      <c r="W9" s="4"/>
      <c r="X9" s="4"/>
    </row>
    <row r="10" spans="1:27" x14ac:dyDescent="0.25">
      <c r="B10" s="1" t="s">
        <v>20</v>
      </c>
      <c r="C10" s="4">
        <v>51.162999999999997</v>
      </c>
      <c r="D10" s="4">
        <v>50.545999999999999</v>
      </c>
      <c r="E10" s="4">
        <v>49.886000000000003</v>
      </c>
      <c r="F10" s="4">
        <v>49.322000000000003</v>
      </c>
      <c r="G10" s="4">
        <v>52.45</v>
      </c>
      <c r="H10" s="4">
        <v>54.569000000000003</v>
      </c>
      <c r="I10" s="4">
        <v>44.311</v>
      </c>
      <c r="K10" s="4"/>
      <c r="L10" s="4"/>
      <c r="M10" s="4"/>
      <c r="N10" s="4">
        <v>174.23599999999999</v>
      </c>
      <c r="O10" s="4">
        <v>200.917</v>
      </c>
      <c r="P10" s="4"/>
      <c r="R10" s="4"/>
      <c r="S10" s="4"/>
      <c r="T10" s="4"/>
      <c r="U10" s="4"/>
      <c r="V10" s="4"/>
      <c r="W10" s="4"/>
      <c r="X10" s="4"/>
    </row>
    <row r="11" spans="1:27" x14ac:dyDescent="0.25">
      <c r="B11" s="1" t="s">
        <v>21</v>
      </c>
      <c r="C11" s="4">
        <v>3.024</v>
      </c>
      <c r="D11" s="4">
        <v>2.9740000000000002</v>
      </c>
      <c r="E11" s="4">
        <v>3.262</v>
      </c>
      <c r="F11" s="4">
        <v>3.6779999999999999</v>
      </c>
      <c r="G11" s="4">
        <v>4.2519999999999998</v>
      </c>
      <c r="H11" s="4">
        <v>4.3380000000000001</v>
      </c>
      <c r="I11" s="4">
        <v>3.8940000000000001</v>
      </c>
      <c r="K11" s="4"/>
      <c r="L11" s="4"/>
      <c r="M11" s="4"/>
      <c r="N11" s="4">
        <v>10.053000000000001</v>
      </c>
      <c r="O11" s="4">
        <v>12.938000000000001</v>
      </c>
      <c r="P11" s="4"/>
      <c r="R11" s="4"/>
      <c r="S11" s="4"/>
      <c r="T11" s="4"/>
      <c r="U11" s="4"/>
      <c r="V11" s="4"/>
      <c r="W11" s="4"/>
      <c r="X11" s="4"/>
    </row>
    <row r="12" spans="1:27" x14ac:dyDescent="0.25">
      <c r="B12" s="1" t="s">
        <v>22</v>
      </c>
      <c r="C12" s="4">
        <v>7.2889999999999997</v>
      </c>
      <c r="D12" s="4">
        <v>6.4589999999999996</v>
      </c>
      <c r="E12" s="4">
        <v>7.2439999999999998</v>
      </c>
      <c r="F12" s="4">
        <v>7.41</v>
      </c>
      <c r="G12" s="4">
        <v>8.34</v>
      </c>
      <c r="H12" s="4">
        <v>9.99</v>
      </c>
      <c r="I12" s="4">
        <v>9.9600000000000009</v>
      </c>
      <c r="K12" s="4"/>
      <c r="L12" s="4"/>
      <c r="M12" s="4"/>
      <c r="N12" s="4">
        <v>23.463000000000001</v>
      </c>
      <c r="O12" s="4">
        <v>28.402000000000001</v>
      </c>
      <c r="P12" s="4"/>
      <c r="R12" s="4"/>
      <c r="S12" s="4"/>
      <c r="T12" s="4"/>
      <c r="U12" s="4"/>
      <c r="V12" s="4"/>
      <c r="W12" s="4"/>
      <c r="X12" s="4"/>
    </row>
    <row r="13" spans="1:27" x14ac:dyDescent="0.25">
      <c r="B13" s="1" t="s">
        <v>23</v>
      </c>
      <c r="C13" s="4">
        <v>7.2469999999999999</v>
      </c>
      <c r="D13" s="4">
        <v>8.9920000000000009</v>
      </c>
      <c r="E13" s="4">
        <v>6.476</v>
      </c>
      <c r="F13" s="4">
        <v>8.3049999999999997</v>
      </c>
      <c r="G13" s="4">
        <v>7.774</v>
      </c>
      <c r="H13" s="4">
        <v>9.1660000000000004</v>
      </c>
      <c r="I13" s="4">
        <v>6.7679999999999998</v>
      </c>
      <c r="K13" s="4"/>
      <c r="L13" s="4"/>
      <c r="M13" s="4"/>
      <c r="N13" s="4">
        <v>34.069000000000003</v>
      </c>
      <c r="O13" s="4">
        <v>31.02</v>
      </c>
      <c r="P13" s="4"/>
      <c r="R13" s="4"/>
      <c r="S13" s="4"/>
      <c r="T13" s="4"/>
      <c r="U13" s="4"/>
      <c r="V13" s="4"/>
      <c r="W13" s="4"/>
      <c r="X13" s="4"/>
    </row>
    <row r="14" spans="1:27" x14ac:dyDescent="0.25">
      <c r="B14" s="1" t="s">
        <v>24</v>
      </c>
      <c r="C14" s="4">
        <v>6.6440000000000001</v>
      </c>
      <c r="D14" s="4">
        <v>6.3959999999999999</v>
      </c>
      <c r="E14" s="4">
        <v>6.0960000000000001</v>
      </c>
      <c r="F14" s="4">
        <v>6.2690000000000001</v>
      </c>
      <c r="G14" s="4">
        <v>5.3259999999999996</v>
      </c>
      <c r="H14" s="4">
        <v>5.1680000000000001</v>
      </c>
      <c r="I14" s="4">
        <v>5.0780000000000003</v>
      </c>
      <c r="K14" s="4"/>
      <c r="L14" s="4"/>
      <c r="M14" s="4"/>
      <c r="N14" s="4">
        <v>25.234000000000002</v>
      </c>
      <c r="O14" s="4">
        <v>25.405000000000001</v>
      </c>
      <c r="P14" s="4"/>
      <c r="R14" s="4"/>
      <c r="S14" s="4"/>
      <c r="T14" s="4"/>
      <c r="U14" s="4"/>
      <c r="V14" s="4"/>
      <c r="W14" s="4"/>
      <c r="X14" s="4"/>
    </row>
    <row r="15" spans="1:27" x14ac:dyDescent="0.25">
      <c r="B15" s="1" t="s">
        <v>25</v>
      </c>
      <c r="C15" s="4">
        <v>3.9849999999999999</v>
      </c>
      <c r="D15" s="4">
        <v>4.093</v>
      </c>
      <c r="E15" s="4">
        <v>4.2549999999999999</v>
      </c>
      <c r="F15" s="4">
        <v>4.2309999999999999</v>
      </c>
      <c r="G15" s="4">
        <v>4.702</v>
      </c>
      <c r="H15" s="4">
        <v>5.1890000000000001</v>
      </c>
      <c r="I15" s="4">
        <v>4.944</v>
      </c>
      <c r="K15" s="4"/>
      <c r="L15" s="4"/>
      <c r="M15" s="4"/>
      <c r="N15" s="4">
        <v>13.93</v>
      </c>
      <c r="O15" s="4">
        <v>16.564</v>
      </c>
      <c r="P15" s="4"/>
      <c r="R15" s="4"/>
      <c r="S15" s="4"/>
      <c r="T15" s="4"/>
      <c r="U15" s="4"/>
      <c r="V15" s="4"/>
      <c r="W15" s="4"/>
      <c r="X15" s="4"/>
    </row>
    <row r="16" spans="1:27" x14ac:dyDescent="0.25">
      <c r="B16" s="1" t="s">
        <v>26</v>
      </c>
      <c r="C16" s="4">
        <v>8.4250000000000007</v>
      </c>
      <c r="D16" s="4">
        <v>6.7149999999999999</v>
      </c>
      <c r="E16" s="4">
        <v>6.6760000000000002</v>
      </c>
      <c r="F16" s="4">
        <v>8.5190000000000001</v>
      </c>
      <c r="G16" s="4">
        <v>10.486000000000001</v>
      </c>
      <c r="H16" s="4">
        <v>8.6639999999999997</v>
      </c>
      <c r="I16" s="4">
        <v>6.2489999999999997</v>
      </c>
      <c r="K16" s="4"/>
      <c r="L16" s="4"/>
      <c r="M16" s="4"/>
      <c r="N16" s="4">
        <f>31.196+20.549</f>
        <v>51.745000000000005</v>
      </c>
      <c r="O16" s="4">
        <v>30.335000000000001</v>
      </c>
      <c r="P16" s="4"/>
      <c r="R16" s="4"/>
      <c r="S16" s="4"/>
      <c r="T16" s="4"/>
      <c r="U16" s="4"/>
      <c r="V16" s="4"/>
      <c r="W16" s="4"/>
      <c r="X16" s="4"/>
    </row>
    <row r="17" spans="2:64" x14ac:dyDescent="0.25">
      <c r="B17" s="1" t="s">
        <v>27</v>
      </c>
      <c r="C17" s="4">
        <v>21.556999999999999</v>
      </c>
      <c r="D17" s="4">
        <v>21.468</v>
      </c>
      <c r="E17" s="4">
        <v>21.734999999999999</v>
      </c>
      <c r="F17" s="4">
        <v>21.571000000000002</v>
      </c>
      <c r="G17" s="4">
        <v>20.878</v>
      </c>
      <c r="H17" s="4">
        <v>21.001999999999999</v>
      </c>
      <c r="I17" s="4">
        <v>21.218</v>
      </c>
      <c r="K17" s="4"/>
      <c r="L17" s="4"/>
      <c r="M17" s="4"/>
      <c r="N17" s="4">
        <v>81.305999999999997</v>
      </c>
      <c r="O17" s="4">
        <v>86.331000000000003</v>
      </c>
      <c r="P17" s="4"/>
      <c r="R17" s="4"/>
      <c r="S17" s="4"/>
      <c r="T17" s="4"/>
      <c r="U17" s="4"/>
      <c r="V17" s="4"/>
      <c r="W17" s="4"/>
      <c r="X17" s="4"/>
    </row>
    <row r="18" spans="2:64" x14ac:dyDescent="0.25">
      <c r="B18" s="1" t="s">
        <v>28</v>
      </c>
      <c r="C18" s="4">
        <f t="shared" ref="C18:G18" si="6">+SUM(C9:C17)</f>
        <v>185.23</v>
      </c>
      <c r="D18" s="4">
        <f>+SUM(D9:D17)</f>
        <v>192.27699999999996</v>
      </c>
      <c r="E18" s="4">
        <f t="shared" si="6"/>
        <v>195.16899999999998</v>
      </c>
      <c r="F18" s="4">
        <f t="shared" si="6"/>
        <v>200.875</v>
      </c>
      <c r="G18" s="4">
        <f t="shared" si="6"/>
        <v>219.40299999999996</v>
      </c>
      <c r="H18" s="4">
        <f>+SUM(H9:H17)</f>
        <v>230.58499999999998</v>
      </c>
      <c r="I18" s="4">
        <f t="shared" ref="I18" si="7">+SUM(I9:I17)</f>
        <v>223.51399999999998</v>
      </c>
      <c r="K18" s="4">
        <f t="shared" ref="K18" si="8">+SUM(K9:K17)</f>
        <v>0</v>
      </c>
      <c r="L18" s="4">
        <f t="shared" ref="L18:P18" si="9">+SUM(L9:L17)</f>
        <v>0</v>
      </c>
      <c r="M18" s="4">
        <f t="shared" si="9"/>
        <v>0</v>
      </c>
      <c r="N18" s="4">
        <f t="shared" si="9"/>
        <v>686.92899999999997</v>
      </c>
      <c r="O18" s="4">
        <f t="shared" si="9"/>
        <v>773.55100000000004</v>
      </c>
      <c r="P18" s="4">
        <f t="shared" si="9"/>
        <v>0</v>
      </c>
      <c r="R18" s="4"/>
      <c r="S18" s="4"/>
      <c r="T18" s="4"/>
      <c r="U18" s="4"/>
      <c r="V18" s="4"/>
      <c r="W18" s="4"/>
      <c r="X18" s="4"/>
    </row>
    <row r="19" spans="2:64" x14ac:dyDescent="0.25">
      <c r="B19" s="2" t="s">
        <v>29</v>
      </c>
      <c r="C19" s="6">
        <f t="shared" ref="C19:G19" si="10">+C8-C18</f>
        <v>102.06699999999998</v>
      </c>
      <c r="D19" s="6">
        <f t="shared" si="10"/>
        <v>110.65100000000004</v>
      </c>
      <c r="E19" s="6">
        <f t="shared" si="10"/>
        <v>126.56300000000005</v>
      </c>
      <c r="F19" s="6">
        <f t="shared" si="10"/>
        <v>137.23699999999997</v>
      </c>
      <c r="G19" s="6">
        <f t="shared" si="10"/>
        <v>137.71100000000001</v>
      </c>
      <c r="H19" s="6">
        <f>+H8-H18</f>
        <v>147.20999999999998</v>
      </c>
      <c r="I19" s="6">
        <f t="shared" ref="I19" si="11">+I8-I18</f>
        <v>159.68100000000001</v>
      </c>
      <c r="K19" s="6">
        <f t="shared" ref="K19" si="12">+K8-K18</f>
        <v>609.38300000000004</v>
      </c>
      <c r="L19" s="6">
        <f t="shared" ref="L19:O19" si="13">+L8-L18</f>
        <v>652.92200000000003</v>
      </c>
      <c r="M19" s="6">
        <f t="shared" si="13"/>
        <v>826.72199999999998</v>
      </c>
      <c r="N19" s="6">
        <f t="shared" si="13"/>
        <v>332.40700000000004</v>
      </c>
      <c r="O19" s="6">
        <f t="shared" si="13"/>
        <v>476.51799999999992</v>
      </c>
      <c r="P19" s="6">
        <f>+P8*0.39</f>
        <v>609.96</v>
      </c>
      <c r="Q19" s="6">
        <f>+Q8*0.415</f>
        <v>749.49</v>
      </c>
      <c r="R19" s="6">
        <f>+R8*0.425</f>
        <v>797.08749999999998</v>
      </c>
      <c r="S19" s="6">
        <f t="shared" ref="S19:X19" si="14">+S8*0.425</f>
        <v>869.55000000000007</v>
      </c>
      <c r="T19" s="6">
        <f t="shared" si="14"/>
        <v>956.50500000000011</v>
      </c>
      <c r="U19" s="6">
        <f t="shared" si="14"/>
        <v>1052.1555000000003</v>
      </c>
      <c r="V19" s="6">
        <f t="shared" si="14"/>
        <v>1157.3710500000004</v>
      </c>
      <c r="W19" s="6">
        <f t="shared" si="14"/>
        <v>1273.1081550000006</v>
      </c>
      <c r="X19" s="6">
        <f t="shared" si="14"/>
        <v>1400.4189705000008</v>
      </c>
    </row>
    <row r="20" spans="2:64" x14ac:dyDescent="0.25">
      <c r="B20" s="1" t="s">
        <v>30</v>
      </c>
      <c r="C20" s="4">
        <v>1.9830000000000001</v>
      </c>
      <c r="D20" s="4">
        <v>2.33</v>
      </c>
      <c r="E20" s="4">
        <v>4.1479999999999997</v>
      </c>
      <c r="F20" s="4">
        <v>1.31</v>
      </c>
      <c r="G20" s="4">
        <v>-4.3979999999999997</v>
      </c>
      <c r="H20" s="4">
        <v>-2.74</v>
      </c>
      <c r="I20" s="4">
        <v>4.165</v>
      </c>
      <c r="K20" s="4"/>
      <c r="L20" s="4"/>
      <c r="M20" s="4"/>
      <c r="N20" s="4">
        <v>-28.658999999999999</v>
      </c>
      <c r="O20" s="4">
        <v>9.7710000000000008</v>
      </c>
      <c r="P20" s="4"/>
      <c r="Q20" s="4"/>
      <c r="R20" s="4"/>
      <c r="S20" s="4"/>
      <c r="T20" s="4"/>
      <c r="U20" s="4"/>
      <c r="V20" s="4"/>
      <c r="W20" s="4"/>
      <c r="X20" s="4"/>
    </row>
    <row r="21" spans="2:64" x14ac:dyDescent="0.25">
      <c r="B21" s="1" t="s">
        <v>31</v>
      </c>
      <c r="C21" s="4">
        <v>-34.225999999999999</v>
      </c>
      <c r="D21" s="4">
        <v>-37.652999999999999</v>
      </c>
      <c r="E21" s="4">
        <v>-40.875</v>
      </c>
      <c r="F21" s="4">
        <v>-36.58</v>
      </c>
      <c r="G21" s="4">
        <v>-51.313000000000002</v>
      </c>
      <c r="H21" s="4">
        <v>-54.683999999999997</v>
      </c>
      <c r="I21" s="4">
        <v>-47.85</v>
      </c>
      <c r="K21" s="4"/>
      <c r="L21" s="4"/>
      <c r="M21" s="4"/>
      <c r="N21" s="4">
        <v>-107.97199999999999</v>
      </c>
      <c r="O21" s="4">
        <v>-149.334</v>
      </c>
      <c r="P21" s="4">
        <f>+O21*1.1</f>
        <v>-164.26740000000001</v>
      </c>
      <c r="Q21" s="4">
        <f t="shared" ref="Q21" si="15">+P21*1.1</f>
        <v>-180.69414000000003</v>
      </c>
      <c r="R21" s="4">
        <f>+Q21*1.05</f>
        <v>-189.72884700000003</v>
      </c>
      <c r="S21" s="4">
        <f t="shared" ref="S21:X21" si="16">+R21*1.05</f>
        <v>-199.21528935000003</v>
      </c>
      <c r="T21" s="4">
        <f t="shared" si="16"/>
        <v>-209.17605381750005</v>
      </c>
      <c r="U21" s="4">
        <f t="shared" si="16"/>
        <v>-219.63485650837507</v>
      </c>
      <c r="V21" s="4">
        <f t="shared" si="16"/>
        <v>-230.61659933379383</v>
      </c>
      <c r="W21" s="4">
        <f t="shared" si="16"/>
        <v>-242.14742930048354</v>
      </c>
      <c r="X21" s="4">
        <f t="shared" si="16"/>
        <v>-254.25480076550772</v>
      </c>
    </row>
    <row r="22" spans="2:64" x14ac:dyDescent="0.25">
      <c r="B22" s="1" t="s">
        <v>32</v>
      </c>
      <c r="C22" s="4">
        <f t="shared" ref="C22:G22" si="17">+C19+C20+C21</f>
        <v>69.823999999999984</v>
      </c>
      <c r="D22" s="4">
        <f t="shared" si="17"/>
        <v>75.328000000000031</v>
      </c>
      <c r="E22" s="4">
        <f t="shared" si="17"/>
        <v>89.836000000000041</v>
      </c>
      <c r="F22" s="4">
        <f t="shared" si="17"/>
        <v>101.96699999999997</v>
      </c>
      <c r="G22" s="4">
        <f t="shared" si="17"/>
        <v>82.000000000000014</v>
      </c>
      <c r="H22" s="4">
        <f>+H19+H20+H21</f>
        <v>89.785999999999973</v>
      </c>
      <c r="I22" s="4">
        <f t="shared" ref="I22" si="18">+I19+I20+I21</f>
        <v>115.99600000000001</v>
      </c>
      <c r="K22" s="4">
        <f t="shared" ref="K22" si="19">+K19+K20+K21</f>
        <v>609.38300000000004</v>
      </c>
      <c r="L22" s="4">
        <f t="shared" ref="L22:V22" si="20">+L19+L20+L21</f>
        <v>652.92200000000003</v>
      </c>
      <c r="M22" s="4">
        <f t="shared" si="20"/>
        <v>826.72199999999998</v>
      </c>
      <c r="N22" s="4">
        <f t="shared" si="20"/>
        <v>195.77600000000007</v>
      </c>
      <c r="O22" s="4">
        <f t="shared" si="20"/>
        <v>336.95499999999993</v>
      </c>
      <c r="P22" s="4">
        <f t="shared" si="20"/>
        <v>445.69260000000003</v>
      </c>
      <c r="Q22" s="4">
        <f t="shared" si="20"/>
        <v>568.79585999999995</v>
      </c>
      <c r="R22" s="4">
        <f t="shared" si="20"/>
        <v>607.358653</v>
      </c>
      <c r="S22" s="4">
        <f t="shared" si="20"/>
        <v>670.33471065000003</v>
      </c>
      <c r="T22" s="4">
        <f t="shared" si="20"/>
        <v>747.32894618250009</v>
      </c>
      <c r="U22" s="4">
        <f t="shared" si="20"/>
        <v>832.52064349162526</v>
      </c>
      <c r="V22" s="4">
        <f t="shared" si="20"/>
        <v>926.75445066620659</v>
      </c>
      <c r="W22" s="4">
        <f t="shared" ref="W22:X22" si="21">+W19+W20+W21</f>
        <v>1030.9607256995171</v>
      </c>
      <c r="X22" s="4">
        <f t="shared" si="21"/>
        <v>1146.164169734493</v>
      </c>
    </row>
    <row r="23" spans="2:64" x14ac:dyDescent="0.25">
      <c r="B23" s="1" t="s">
        <v>33</v>
      </c>
      <c r="C23" s="4">
        <v>18.388000000000002</v>
      </c>
      <c r="D23" s="4">
        <v>19.777999999999999</v>
      </c>
      <c r="E23" s="4">
        <v>23.526</v>
      </c>
      <c r="F23" s="4">
        <v>-27.364999999999998</v>
      </c>
      <c r="G23" s="4">
        <v>-23.056000000000001</v>
      </c>
      <c r="H23" s="4">
        <v>24.385000000000002</v>
      </c>
      <c r="I23" s="4">
        <v>31.056000000000001</v>
      </c>
      <c r="K23" s="4"/>
      <c r="L23" s="4"/>
      <c r="M23" s="4"/>
      <c r="N23" s="4">
        <v>55.615000000000002</v>
      </c>
      <c r="O23" s="4">
        <v>89.057000000000002</v>
      </c>
      <c r="P23" s="4">
        <f>+P22*0.21</f>
        <v>93.595445999999995</v>
      </c>
      <c r="Q23" s="4">
        <f t="shared" ref="Q23:X23" si="22">+Q22*0.21</f>
        <v>119.44713059999998</v>
      </c>
      <c r="R23" s="4">
        <f t="shared" si="22"/>
        <v>127.54531713</v>
      </c>
      <c r="S23" s="4">
        <f t="shared" si="22"/>
        <v>140.77028923649999</v>
      </c>
      <c r="T23" s="4">
        <f t="shared" si="22"/>
        <v>156.93907869832501</v>
      </c>
      <c r="U23" s="4">
        <f t="shared" si="22"/>
        <v>174.8293351332413</v>
      </c>
      <c r="V23" s="4">
        <f t="shared" si="22"/>
        <v>194.61843463990337</v>
      </c>
      <c r="W23" s="4">
        <f t="shared" si="22"/>
        <v>216.50175239689858</v>
      </c>
      <c r="X23" s="4">
        <f t="shared" si="22"/>
        <v>240.69447564424354</v>
      </c>
    </row>
    <row r="24" spans="2:64" x14ac:dyDescent="0.25">
      <c r="B24" s="2" t="s">
        <v>34</v>
      </c>
      <c r="C24" s="6">
        <f t="shared" ref="C24:G24" si="23">+C22-C23</f>
        <v>51.435999999999979</v>
      </c>
      <c r="D24" s="6">
        <f t="shared" si="23"/>
        <v>55.550000000000033</v>
      </c>
      <c r="E24" s="6">
        <f t="shared" si="23"/>
        <v>66.310000000000045</v>
      </c>
      <c r="F24" s="6">
        <f t="shared" si="23"/>
        <v>129.33199999999997</v>
      </c>
      <c r="G24" s="6">
        <f t="shared" si="23"/>
        <v>105.05600000000001</v>
      </c>
      <c r="H24" s="6">
        <f>+H22-H23</f>
        <v>65.400999999999968</v>
      </c>
      <c r="I24" s="6">
        <f t="shared" ref="I24" si="24">+I22-I23</f>
        <v>84.940000000000012</v>
      </c>
      <c r="J24" s="2"/>
      <c r="K24" s="6">
        <f t="shared" ref="K24" si="25">+K22-K23</f>
        <v>609.38300000000004</v>
      </c>
      <c r="L24" s="6">
        <f t="shared" ref="L24:X24" si="26">+L22-L23</f>
        <v>652.92200000000003</v>
      </c>
      <c r="M24" s="6">
        <f t="shared" si="26"/>
        <v>826.72199999999998</v>
      </c>
      <c r="N24" s="6">
        <f t="shared" si="26"/>
        <v>140.16100000000006</v>
      </c>
      <c r="O24" s="6">
        <f t="shared" si="26"/>
        <v>247.89799999999991</v>
      </c>
      <c r="P24" s="6">
        <f t="shared" si="26"/>
        <v>352.09715400000005</v>
      </c>
      <c r="Q24" s="6">
        <f t="shared" si="26"/>
        <v>449.34872939999997</v>
      </c>
      <c r="R24" s="6">
        <f t="shared" si="26"/>
        <v>479.81333587</v>
      </c>
      <c r="S24" s="6">
        <f t="shared" si="26"/>
        <v>529.56442141349999</v>
      </c>
      <c r="T24" s="6">
        <f t="shared" si="26"/>
        <v>590.38986748417506</v>
      </c>
      <c r="U24" s="6">
        <f t="shared" si="26"/>
        <v>657.69130835838394</v>
      </c>
      <c r="V24" s="6">
        <f t="shared" si="26"/>
        <v>732.1360160263032</v>
      </c>
      <c r="W24" s="6">
        <f t="shared" si="26"/>
        <v>814.45897330261846</v>
      </c>
      <c r="X24" s="6">
        <f t="shared" si="26"/>
        <v>905.4696940902495</v>
      </c>
      <c r="Y24" s="6">
        <f>+X24*(1+$AA$4)</f>
        <v>923.57908797205448</v>
      </c>
      <c r="Z24" s="6">
        <f t="shared" ref="Z24:BL24" si="27">+Y24*(1+$AA$4)</f>
        <v>942.05066973149553</v>
      </c>
      <c r="AA24" s="6">
        <f t="shared" si="27"/>
        <v>960.89168312612549</v>
      </c>
      <c r="AB24" s="6">
        <f t="shared" si="27"/>
        <v>980.10951678864797</v>
      </c>
      <c r="AC24" s="6">
        <f t="shared" si="27"/>
        <v>999.71170712442097</v>
      </c>
      <c r="AD24" s="6">
        <f t="shared" si="27"/>
        <v>1019.7059412669093</v>
      </c>
      <c r="AE24" s="6">
        <f t="shared" si="27"/>
        <v>1040.1000600922475</v>
      </c>
      <c r="AF24" s="6">
        <f t="shared" si="27"/>
        <v>1060.9020612940924</v>
      </c>
      <c r="AG24" s="6">
        <f t="shared" si="27"/>
        <v>1082.1201025199744</v>
      </c>
      <c r="AH24" s="6">
        <f t="shared" si="27"/>
        <v>1103.7625045703739</v>
      </c>
      <c r="AI24" s="6">
        <f t="shared" si="27"/>
        <v>1125.8377546617814</v>
      </c>
      <c r="AJ24" s="6">
        <f t="shared" si="27"/>
        <v>1148.354509755017</v>
      </c>
      <c r="AK24" s="6">
        <f t="shared" si="27"/>
        <v>1171.3215999501174</v>
      </c>
      <c r="AL24" s="6">
        <f t="shared" si="27"/>
        <v>1194.7480319491196</v>
      </c>
      <c r="AM24" s="6">
        <f t="shared" si="27"/>
        <v>1218.6429925881021</v>
      </c>
      <c r="AN24" s="6">
        <f t="shared" si="27"/>
        <v>1243.0158524398641</v>
      </c>
      <c r="AO24" s="6">
        <f t="shared" si="27"/>
        <v>1267.8761694886614</v>
      </c>
      <c r="AP24" s="6">
        <f t="shared" si="27"/>
        <v>1293.2336928784346</v>
      </c>
      <c r="AQ24" s="6">
        <f t="shared" si="27"/>
        <v>1319.0983667360033</v>
      </c>
      <c r="AR24" s="6">
        <f t="shared" si="27"/>
        <v>1345.4803340707233</v>
      </c>
      <c r="AS24" s="6">
        <f t="shared" si="27"/>
        <v>1372.3899407521378</v>
      </c>
      <c r="AT24" s="6">
        <f t="shared" si="27"/>
        <v>1399.8377395671805</v>
      </c>
      <c r="AU24" s="6">
        <f t="shared" si="27"/>
        <v>1427.8344943585241</v>
      </c>
      <c r="AV24" s="6">
        <f t="shared" si="27"/>
        <v>1456.3911842456946</v>
      </c>
      <c r="AW24" s="6">
        <f t="shared" si="27"/>
        <v>1485.5190079306085</v>
      </c>
      <c r="AX24" s="6">
        <f t="shared" si="27"/>
        <v>1515.2293880892207</v>
      </c>
      <c r="AY24" s="6">
        <f t="shared" si="27"/>
        <v>1545.5339758510052</v>
      </c>
      <c r="AZ24" s="6">
        <f t="shared" si="27"/>
        <v>1576.4446553680252</v>
      </c>
      <c r="BA24" s="6">
        <f t="shared" si="27"/>
        <v>1607.9735484753858</v>
      </c>
      <c r="BB24" s="6">
        <f t="shared" si="27"/>
        <v>1640.1330194448935</v>
      </c>
      <c r="BC24" s="6">
        <f t="shared" si="27"/>
        <v>1672.9356798337915</v>
      </c>
      <c r="BD24" s="6">
        <f t="shared" si="27"/>
        <v>1706.3943934304673</v>
      </c>
      <c r="BE24" s="6">
        <f t="shared" si="27"/>
        <v>1740.5222812990767</v>
      </c>
      <c r="BF24" s="6">
        <f t="shared" si="27"/>
        <v>1775.3327269250583</v>
      </c>
      <c r="BG24" s="6">
        <f t="shared" si="27"/>
        <v>1810.8393814635594</v>
      </c>
      <c r="BH24" s="6">
        <f t="shared" si="27"/>
        <v>1847.0561690928307</v>
      </c>
      <c r="BI24" s="6">
        <f t="shared" si="27"/>
        <v>1883.9972924746874</v>
      </c>
      <c r="BJ24" s="6">
        <f t="shared" si="27"/>
        <v>1921.6772383241812</v>
      </c>
      <c r="BK24" s="6">
        <f t="shared" si="27"/>
        <v>1960.1107830906649</v>
      </c>
      <c r="BL24" s="6">
        <f t="shared" si="27"/>
        <v>1999.3129987524783</v>
      </c>
    </row>
    <row r="25" spans="2:64" x14ac:dyDescent="0.25">
      <c r="B25" s="1" t="s">
        <v>2</v>
      </c>
      <c r="D25" s="1">
        <v>17.061</v>
      </c>
      <c r="H25" s="1">
        <v>17.376999999999999</v>
      </c>
      <c r="I25" s="1">
        <v>17.401</v>
      </c>
      <c r="P25" s="1">
        <v>17.376999999999999</v>
      </c>
      <c r="Q25" s="1">
        <v>17.376999999999999</v>
      </c>
      <c r="R25" s="1">
        <v>17.376999999999999</v>
      </c>
      <c r="S25" s="1">
        <v>17.376999999999999</v>
      </c>
      <c r="T25" s="1">
        <v>17.376999999999999</v>
      </c>
      <c r="U25" s="1">
        <v>17.376999999999999</v>
      </c>
      <c r="V25" s="1">
        <v>17.376999999999999</v>
      </c>
      <c r="W25" s="1">
        <v>17.376999999999999</v>
      </c>
      <c r="X25" s="1">
        <v>17.376999999999999</v>
      </c>
    </row>
    <row r="26" spans="2:64" x14ac:dyDescent="0.25">
      <c r="B26" s="1" t="s">
        <v>38</v>
      </c>
      <c r="C26" s="9"/>
      <c r="D26" s="9">
        <f>+D24/D25</f>
        <v>3.2559638942617686</v>
      </c>
      <c r="E26" s="9"/>
      <c r="F26" s="9"/>
      <c r="G26" s="9"/>
      <c r="H26" s="9">
        <f>+H24/H25</f>
        <v>3.7636531046785966</v>
      </c>
      <c r="I26" s="9">
        <f t="shared" ref="I26" si="28">+I24/I25</f>
        <v>4.8813286592724561</v>
      </c>
      <c r="K26" s="9" t="e">
        <f t="shared" ref="K26" si="29">+K24/K25</f>
        <v>#DIV/0!</v>
      </c>
      <c r="L26" s="9" t="e">
        <f t="shared" ref="L26:P26" si="30">+L24/L25</f>
        <v>#DIV/0!</v>
      </c>
      <c r="M26" s="9" t="e">
        <f t="shared" si="30"/>
        <v>#DIV/0!</v>
      </c>
      <c r="N26" s="9" t="e">
        <f t="shared" si="30"/>
        <v>#DIV/0!</v>
      </c>
      <c r="O26" s="9" t="e">
        <f t="shared" si="30"/>
        <v>#DIV/0!</v>
      </c>
      <c r="P26" s="9">
        <f t="shared" si="30"/>
        <v>20.262252057317149</v>
      </c>
      <c r="Q26" s="9">
        <f t="shared" ref="Q26:X26" si="31">+Q24/Q25</f>
        <v>25.858820820624963</v>
      </c>
      <c r="R26" s="9">
        <f t="shared" si="31"/>
        <v>27.61197766415377</v>
      </c>
      <c r="S26" s="9">
        <f t="shared" si="31"/>
        <v>30.475019935172931</v>
      </c>
      <c r="T26" s="9">
        <f t="shared" si="31"/>
        <v>33.975362115680213</v>
      </c>
      <c r="U26" s="9">
        <f t="shared" si="31"/>
        <v>37.848380523587728</v>
      </c>
      <c r="V26" s="9">
        <f t="shared" si="31"/>
        <v>42.132474882102969</v>
      </c>
      <c r="W26" s="9">
        <f t="shared" si="31"/>
        <v>46.869941491777553</v>
      </c>
      <c r="X26" s="9">
        <f t="shared" si="31"/>
        <v>52.107365718492808</v>
      </c>
    </row>
    <row r="28" spans="2:64" x14ac:dyDescent="0.25">
      <c r="B28" s="1" t="s">
        <v>8</v>
      </c>
      <c r="G28" s="7">
        <f t="shared" ref="G28:G31" si="32">+G3/C3-1</f>
        <v>0.29114125146454328</v>
      </c>
      <c r="H28" s="7">
        <f>+H3/D3-1</f>
        <v>0.28637451243895251</v>
      </c>
      <c r="I28" s="7">
        <f t="shared" ref="I28:I31" si="33">+I3/E3-1</f>
        <v>0.23289672829732755</v>
      </c>
      <c r="O28" s="7">
        <f>+O3/N3-1</f>
        <v>0.2732621929384802</v>
      </c>
    </row>
    <row r="29" spans="2:64" x14ac:dyDescent="0.25">
      <c r="B29" s="1" t="s">
        <v>9</v>
      </c>
      <c r="G29" s="7">
        <f t="shared" si="32"/>
        <v>-3.2231566594954075E-2</v>
      </c>
      <c r="H29" s="7">
        <f t="shared" ref="H29:H31" si="34">+H4/D4-1</f>
        <v>-4.1433817659268679E-2</v>
      </c>
      <c r="I29" s="7">
        <f t="shared" si="33"/>
        <v>-4.4865525672371565E-2</v>
      </c>
      <c r="O29" s="7">
        <f t="shared" ref="O29:O31" si="35">+O4/N4-1</f>
        <v>-3.4482758620689724E-2</v>
      </c>
    </row>
    <row r="30" spans="2:64" x14ac:dyDescent="0.25">
      <c r="B30" s="1" t="s">
        <v>10</v>
      </c>
      <c r="G30" s="7">
        <f t="shared" si="32"/>
        <v>0.18636397358854517</v>
      </c>
      <c r="H30" s="7">
        <f t="shared" si="34"/>
        <v>0.23352221372453585</v>
      </c>
      <c r="I30" s="7">
        <f t="shared" si="33"/>
        <v>0.13288474978464748</v>
      </c>
      <c r="O30" s="7">
        <f t="shared" si="35"/>
        <v>0.18931928037776635</v>
      </c>
    </row>
    <row r="31" spans="2:64" x14ac:dyDescent="0.25">
      <c r="B31" s="1" t="s">
        <v>11</v>
      </c>
      <c r="G31" s="7">
        <f t="shared" si="32"/>
        <v>0.30510331872260488</v>
      </c>
      <c r="H31" s="7">
        <f t="shared" si="34"/>
        <v>0.19333431647249677</v>
      </c>
      <c r="I31" s="7">
        <f t="shared" si="33"/>
        <v>0.15509693558474047</v>
      </c>
      <c r="O31" s="7">
        <f t="shared" si="35"/>
        <v>0.30053849512443609</v>
      </c>
    </row>
    <row r="32" spans="2:64" x14ac:dyDescent="0.25">
      <c r="B32" s="2" t="s">
        <v>35</v>
      </c>
      <c r="C32" s="2"/>
      <c r="D32" s="2"/>
      <c r="E32" s="2"/>
      <c r="F32" s="2"/>
      <c r="G32" s="8">
        <f t="shared" ref="G32" si="36">+G8/C8-1</f>
        <v>0.24301332767136463</v>
      </c>
      <c r="H32" s="8">
        <f>+H8/D8-1</f>
        <v>0.24714453599535191</v>
      </c>
      <c r="I32" s="8">
        <f t="shared" ref="I32" si="37">+I8/E8-1</f>
        <v>0.1910378824611787</v>
      </c>
      <c r="L32" s="8">
        <f>+L8/K8-1</f>
        <v>7.1447677404850474E-2</v>
      </c>
      <c r="M32" s="8">
        <f t="shared" ref="M32:O32" si="38">+M8/L8-1</f>
        <v>0.26618799795381376</v>
      </c>
      <c r="N32" s="8">
        <f t="shared" si="38"/>
        <v>0.23298521147374807</v>
      </c>
      <c r="O32" s="8">
        <f t="shared" si="38"/>
        <v>0.22635617696225774</v>
      </c>
      <c r="P32" s="8">
        <f t="shared" ref="P32" si="39">+P8/O8-1</f>
        <v>0.25113093757224614</v>
      </c>
      <c r="Q32" s="8">
        <f t="shared" ref="Q32" si="40">+Q8/P8-1</f>
        <v>0.15473145780051145</v>
      </c>
      <c r="R32" s="8">
        <f t="shared" ref="R32" si="41">+R8/Q8-1</f>
        <v>3.8482834994462811E-2</v>
      </c>
      <c r="S32" s="8">
        <f t="shared" ref="S32" si="42">+S8/R8-1</f>
        <v>9.090909090909105E-2</v>
      </c>
      <c r="T32" s="8">
        <f t="shared" ref="T32" si="43">+T8/S8-1</f>
        <v>0.10000000000000009</v>
      </c>
      <c r="U32" s="8">
        <f t="shared" ref="U32" si="44">+U8/T8-1</f>
        <v>0.10000000000000009</v>
      </c>
      <c r="V32" s="8">
        <f t="shared" ref="V32" si="45">+V8/U8-1</f>
        <v>0.10000000000000009</v>
      </c>
      <c r="W32" s="8">
        <f t="shared" ref="W32" si="46">+W8/V8-1</f>
        <v>0.10000000000000009</v>
      </c>
      <c r="X32" s="8">
        <f t="shared" ref="X32" si="47">+X8/W8-1</f>
        <v>0.10000000000000009</v>
      </c>
    </row>
    <row r="34" spans="2:24" x14ac:dyDescent="0.25">
      <c r="B34" s="1" t="s">
        <v>36</v>
      </c>
      <c r="C34" s="11">
        <f t="shared" ref="C34:G34" si="48">+C19/C8</f>
        <v>0.3552665012165111</v>
      </c>
      <c r="D34" s="11">
        <f t="shared" si="48"/>
        <v>0.36527161569745958</v>
      </c>
      <c r="E34" s="11">
        <f t="shared" si="48"/>
        <v>0.39338020464237328</v>
      </c>
      <c r="F34" s="11">
        <f t="shared" si="48"/>
        <v>0.40589213041832284</v>
      </c>
      <c r="G34" s="11">
        <f t="shared" si="48"/>
        <v>0.38562195825422702</v>
      </c>
      <c r="H34" s="11">
        <f>+H19/H8</f>
        <v>0.38965576569303456</v>
      </c>
      <c r="I34" s="11">
        <f t="shared" ref="I34" si="49">+I19/I8</f>
        <v>0.41670950821383373</v>
      </c>
      <c r="L34" s="7">
        <f t="shared" ref="L34:P34" si="50">+L19/L8</f>
        <v>1</v>
      </c>
      <c r="M34" s="7">
        <f t="shared" si="50"/>
        <v>1</v>
      </c>
      <c r="N34" s="7">
        <f t="shared" si="50"/>
        <v>0.32610150136951904</v>
      </c>
      <c r="O34" s="7">
        <f t="shared" si="50"/>
        <v>0.38119335812663135</v>
      </c>
      <c r="P34" s="7">
        <f t="shared" si="50"/>
        <v>0.39</v>
      </c>
      <c r="Q34" s="7">
        <f t="shared" ref="Q34:V34" si="51">+Q19/Q8</f>
        <v>0.41499999999999998</v>
      </c>
      <c r="R34" s="7">
        <f t="shared" si="51"/>
        <v>0.42499999999999999</v>
      </c>
      <c r="S34" s="7">
        <f t="shared" si="51"/>
        <v>0.42499999999999999</v>
      </c>
      <c r="T34" s="7">
        <f t="shared" si="51"/>
        <v>0.42499999999999999</v>
      </c>
      <c r="U34" s="7">
        <f t="shared" si="51"/>
        <v>0.42499999999999999</v>
      </c>
      <c r="V34" s="7">
        <f t="shared" si="51"/>
        <v>0.42499999999999999</v>
      </c>
      <c r="W34" s="7">
        <f t="shared" ref="W34:X34" si="52">+W19/W8</f>
        <v>0.42499999999999999</v>
      </c>
      <c r="X34" s="7">
        <f t="shared" si="52"/>
        <v>0.42499999999999999</v>
      </c>
    </row>
    <row r="35" spans="2:24" x14ac:dyDescent="0.25">
      <c r="B35" s="1" t="s">
        <v>37</v>
      </c>
      <c r="C35" s="11">
        <f t="shared" ref="C35:G35" si="53">+C24/C8</f>
        <v>0.17903423982847014</v>
      </c>
      <c r="D35" s="11">
        <f t="shared" si="53"/>
        <v>0.18337690804415582</v>
      </c>
      <c r="E35" s="11">
        <f t="shared" si="53"/>
        <v>0.20610321634155149</v>
      </c>
      <c r="F35" s="11">
        <f t="shared" si="53"/>
        <v>0.38251230361536998</v>
      </c>
      <c r="G35" s="11">
        <f t="shared" si="53"/>
        <v>0.29418056979003909</v>
      </c>
      <c r="H35" s="11">
        <f>+H24/H8</f>
        <v>0.17311240222872187</v>
      </c>
      <c r="I35" s="11">
        <f t="shared" ref="I35" si="54">+I24/I8</f>
        <v>0.22166259998173257</v>
      </c>
      <c r="L35" s="7">
        <f t="shared" ref="L35:P35" si="55">+L24/L8</f>
        <v>1</v>
      </c>
      <c r="M35" s="7">
        <f t="shared" si="55"/>
        <v>1</v>
      </c>
      <c r="N35" s="7">
        <f t="shared" si="55"/>
        <v>0.13750225637081401</v>
      </c>
      <c r="O35" s="7">
        <f t="shared" si="55"/>
        <v>0.19830745342857067</v>
      </c>
      <c r="P35" s="7">
        <f t="shared" si="55"/>
        <v>0.22512605754475706</v>
      </c>
      <c r="Q35" s="7">
        <f t="shared" ref="Q35:V35" si="56">+Q24/Q8</f>
        <v>0.24880882026578072</v>
      </c>
      <c r="R35" s="7">
        <f t="shared" si="56"/>
        <v>0.25583222387096777</v>
      </c>
      <c r="S35" s="7">
        <f t="shared" si="56"/>
        <v>0.25882914047580641</v>
      </c>
      <c r="T35" s="7">
        <f t="shared" si="56"/>
        <v>0.26232554318145157</v>
      </c>
      <c r="U35" s="7">
        <f t="shared" si="56"/>
        <v>0.26566301849138563</v>
      </c>
      <c r="V35" s="7">
        <f t="shared" si="56"/>
        <v>0.2688487903781408</v>
      </c>
      <c r="W35" s="7">
        <f t="shared" ref="W35:X35" si="57">+W24/W8</f>
        <v>0.2718897544518617</v>
      </c>
      <c r="X35" s="7">
        <f t="shared" si="57"/>
        <v>0.27479249288586799</v>
      </c>
    </row>
    <row r="37" spans="2:24" x14ac:dyDescent="0.25">
      <c r="B37" s="1" t="s">
        <v>46</v>
      </c>
    </row>
    <row r="38" spans="2:24" x14ac:dyDescent="0.25">
      <c r="B38" s="1" t="s">
        <v>47</v>
      </c>
    </row>
    <row r="39" spans="2:24" x14ac:dyDescent="0.25">
      <c r="B39" s="1" t="s">
        <v>39</v>
      </c>
      <c r="C39" s="6"/>
      <c r="D39" s="6">
        <v>76.472999999999999</v>
      </c>
      <c r="E39" s="6"/>
      <c r="F39" s="6"/>
      <c r="G39" s="6"/>
      <c r="H39" s="6">
        <v>93.084000000000003</v>
      </c>
    </row>
    <row r="41" spans="2:24" x14ac:dyDescent="0.25">
      <c r="B41" s="1" t="s">
        <v>59</v>
      </c>
      <c r="K41" s="1">
        <v>9.4</v>
      </c>
      <c r="L41" s="1">
        <v>8.4</v>
      </c>
      <c r="M41" s="1">
        <v>8.1999999999999993</v>
      </c>
      <c r="O41" s="1">
        <v>9.3000000000000007</v>
      </c>
    </row>
    <row r="43" spans="2:24" x14ac:dyDescent="0.25">
      <c r="B43" s="1" t="s">
        <v>65</v>
      </c>
      <c r="C43" s="4"/>
      <c r="D43" s="4">
        <v>3200</v>
      </c>
      <c r="E43" s="4">
        <v>3430</v>
      </c>
      <c r="F43" s="4">
        <v>3645</v>
      </c>
      <c r="G43" s="4">
        <v>3852</v>
      </c>
      <c r="H43" s="4">
        <v>4138</v>
      </c>
      <c r="I43" s="4">
        <v>4393.3530000000001</v>
      </c>
      <c r="K43" s="4">
        <v>1111</v>
      </c>
      <c r="L43" s="4">
        <v>1247</v>
      </c>
      <c r="M43" s="4">
        <v>2030</v>
      </c>
      <c r="N43" s="4">
        <v>2794</v>
      </c>
      <c r="O43" s="4">
        <v>3650</v>
      </c>
      <c r="P43" s="4">
        <v>4600</v>
      </c>
      <c r="Q43" s="4">
        <v>5600</v>
      </c>
      <c r="R43" s="4">
        <v>6200</v>
      </c>
      <c r="S43" s="4">
        <f>+R43*1.1</f>
        <v>6820.0000000000009</v>
      </c>
      <c r="T43" s="4">
        <f t="shared" ref="T43:X43" si="58">+S43*1.1</f>
        <v>7502.0000000000018</v>
      </c>
      <c r="U43" s="4">
        <f t="shared" si="58"/>
        <v>8252.2000000000025</v>
      </c>
      <c r="V43" s="4">
        <f t="shared" si="58"/>
        <v>9077.4200000000037</v>
      </c>
      <c r="W43" s="4">
        <f t="shared" si="58"/>
        <v>9985.1620000000057</v>
      </c>
      <c r="X43" s="4">
        <f t="shared" si="58"/>
        <v>10983.678200000008</v>
      </c>
    </row>
    <row r="44" spans="2:24" x14ac:dyDescent="0.25">
      <c r="B44" s="1" t="s">
        <v>66</v>
      </c>
      <c r="E44" s="7">
        <f t="shared" ref="E44:G44" si="59">+E43/D43-1</f>
        <v>7.1874999999999911E-2</v>
      </c>
      <c r="F44" s="7">
        <f t="shared" si="59"/>
        <v>6.2682215743440128E-2</v>
      </c>
      <c r="G44" s="7">
        <f t="shared" si="59"/>
        <v>5.679012345679002E-2</v>
      </c>
      <c r="H44" s="7">
        <f>+H43/G43-1</f>
        <v>7.4247144340602311E-2</v>
      </c>
      <c r="I44" s="7">
        <f t="shared" ref="I44" si="60">+I43/H43-1</f>
        <v>6.1709279845336029E-2</v>
      </c>
      <c r="K44" s="4"/>
      <c r="L44" s="7">
        <f t="shared" ref="L44:M44" si="61">+L43/K43-1</f>
        <v>0.12241224122412242</v>
      </c>
      <c r="M44" s="7">
        <f t="shared" si="61"/>
        <v>0.62790697674418605</v>
      </c>
      <c r="N44" s="7">
        <f t="shared" ref="N44" si="62">+N43/M43-1</f>
        <v>0.37635467980295556</v>
      </c>
      <c r="O44" s="7">
        <f t="shared" ref="O44" si="63">+O43/N43-1</f>
        <v>0.3063707945597709</v>
      </c>
      <c r="P44" s="7">
        <f t="shared" ref="P44" si="64">+P43/O43-1</f>
        <v>0.26027397260273966</v>
      </c>
      <c r="Q44" s="7">
        <f>+Q43/P43-1</f>
        <v>0.21739130434782616</v>
      </c>
      <c r="R44" s="7">
        <f t="shared" ref="R44" si="65">+R43/Q43-1</f>
        <v>0.10714285714285721</v>
      </c>
      <c r="S44" s="7">
        <f t="shared" ref="S44" si="66">+S43/R43-1</f>
        <v>0.10000000000000009</v>
      </c>
      <c r="T44" s="7">
        <f t="shared" ref="T44" si="67">+T43/S43-1</f>
        <v>0.10000000000000009</v>
      </c>
      <c r="U44" s="7">
        <f t="shared" ref="U44" si="68">+U43/T43-1</f>
        <v>0.10000000000000009</v>
      </c>
      <c r="V44" s="7">
        <f t="shared" ref="V44" si="69">+V43/U43-1</f>
        <v>0.10000000000000009</v>
      </c>
      <c r="W44" s="7">
        <f t="shared" ref="W44" si="70">+W43/V43-1</f>
        <v>0.10000000000000009</v>
      </c>
      <c r="X44" s="7">
        <f t="shared" ref="X44" si="71">+X43/W43-1</f>
        <v>0.10000000000000009</v>
      </c>
    </row>
    <row r="45" spans="2:24" x14ac:dyDescent="0.25">
      <c r="B45" s="1" t="s">
        <v>60</v>
      </c>
      <c r="D45" s="14"/>
      <c r="E45" s="14">
        <v>0.35299999999999998</v>
      </c>
      <c r="F45" s="14"/>
      <c r="G45" s="14"/>
      <c r="H45" s="14"/>
      <c r="I45" s="14">
        <v>0.33200000000000002</v>
      </c>
      <c r="K45" s="4"/>
      <c r="L45" s="4"/>
      <c r="M45" s="4"/>
      <c r="N45" s="4"/>
      <c r="O45" s="7">
        <v>0.35299999999999998</v>
      </c>
      <c r="P45" s="7">
        <v>0.34</v>
      </c>
      <c r="Q45" s="7">
        <v>0.32250000000000001</v>
      </c>
      <c r="R45" s="7">
        <v>0.30249999999999999</v>
      </c>
      <c r="S45" s="7">
        <v>0.3</v>
      </c>
      <c r="T45" s="7">
        <v>0.3</v>
      </c>
      <c r="U45" s="7">
        <v>0.3</v>
      </c>
      <c r="V45" s="7">
        <v>0.3</v>
      </c>
      <c r="W45" s="7">
        <v>0.3</v>
      </c>
      <c r="X45" s="7">
        <v>0.3</v>
      </c>
    </row>
    <row r="47" spans="2:24" x14ac:dyDescent="0.25">
      <c r="B47" s="1" t="s">
        <v>68</v>
      </c>
      <c r="F47" s="1">
        <v>0.96</v>
      </c>
      <c r="G47" s="1">
        <v>1.17</v>
      </c>
      <c r="H47" s="1">
        <v>1.17</v>
      </c>
      <c r="I47" s="1">
        <v>1.17</v>
      </c>
      <c r="L47" s="1">
        <v>1.8</v>
      </c>
      <c r="M47" s="1">
        <v>2.64</v>
      </c>
      <c r="N47" s="1">
        <v>3.64</v>
      </c>
      <c r="O47" s="1">
        <v>3.84</v>
      </c>
      <c r="P47" s="1">
        <v>4.68</v>
      </c>
    </row>
  </sheetData>
  <hyperlinks>
    <hyperlink ref="A1" location="main!A1" display="main" xr:uid="{E5DCC1BF-296B-4EC6-BC64-081DCF8F4738}"/>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A59F6-3F54-4D48-8541-5C9E236989BE}">
  <dimension ref="A1"/>
  <sheetViews>
    <sheetView workbookViewId="0">
      <selection activeCell="B2" sqref="B2:C4"/>
    </sheetView>
  </sheetViews>
  <sheetFormatPr defaultRowHeight="14.4" x14ac:dyDescent="0.3"/>
  <cols>
    <col min="2" max="2" width="11.332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2024-10-20T10:59:14Z</dcterms:created>
  <dcterms:modified xsi:type="dcterms:W3CDTF">2024-12-09T15:22:50Z</dcterms:modified>
</cp:coreProperties>
</file>