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2" documentId="8_{429AA681-10B9-4810-B128-46F7FC97ACE4}" xr6:coauthVersionLast="47" xr6:coauthVersionMax="47" xr10:uidLastSave="{AFD737FB-9A2E-4DFC-9157-D12ADEF4C035}"/>
  <bookViews>
    <workbookView xWindow="14310" yWindow="0" windowWidth="14595" windowHeight="15585" activeTab="1" xr2:uid="{7984919B-A320-4626-9394-F3CBF43DCE4D}"/>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0" i="2" l="1"/>
  <c r="AA20" i="2" s="1"/>
  <c r="Y12" i="2"/>
  <c r="Y33" i="2" s="1"/>
  <c r="X12" i="2"/>
  <c r="W12" i="2"/>
  <c r="W33" i="2" s="1"/>
  <c r="V12" i="2"/>
  <c r="V33" i="2" s="1"/>
  <c r="U12" i="2"/>
  <c r="T12" i="2"/>
  <c r="T33" i="2" s="1"/>
  <c r="Y11" i="2"/>
  <c r="Y32" i="2" s="1"/>
  <c r="X11" i="2"/>
  <c r="X32" i="2" s="1"/>
  <c r="W11" i="2"/>
  <c r="W32" i="2" s="1"/>
  <c r="V11" i="2"/>
  <c r="U11" i="2"/>
  <c r="U32" i="2" s="1"/>
  <c r="T11" i="2"/>
  <c r="T32" i="2" s="1"/>
  <c r="S11" i="2"/>
  <c r="S32" i="2" s="1"/>
  <c r="M35" i="2"/>
  <c r="L35" i="2"/>
  <c r="K35" i="2"/>
  <c r="J35" i="2"/>
  <c r="I35" i="2"/>
  <c r="H35" i="2"/>
  <c r="G35" i="2"/>
  <c r="F35" i="2"/>
  <c r="M34" i="2"/>
  <c r="L34" i="2"/>
  <c r="K34" i="2"/>
  <c r="J34" i="2"/>
  <c r="I34" i="2"/>
  <c r="H34" i="2"/>
  <c r="G34" i="2"/>
  <c r="F34" i="2"/>
  <c r="M33" i="2"/>
  <c r="L33" i="2"/>
  <c r="K33" i="2"/>
  <c r="J33" i="2"/>
  <c r="I33" i="2"/>
  <c r="H33" i="2"/>
  <c r="G33" i="2"/>
  <c r="F33" i="2"/>
  <c r="M32" i="2"/>
  <c r="L32" i="2"/>
  <c r="K32" i="2"/>
  <c r="J32" i="2"/>
  <c r="I32" i="2"/>
  <c r="H32" i="2"/>
  <c r="G32" i="2"/>
  <c r="F32" i="2"/>
  <c r="T14" i="2"/>
  <c r="U14" i="2" s="1"/>
  <c r="S14" i="2"/>
  <c r="S35" i="2" s="1"/>
  <c r="X33" i="2"/>
  <c r="S12" i="2"/>
  <c r="S33" i="2" s="1"/>
  <c r="Y13" i="2"/>
  <c r="X13" i="2"/>
  <c r="X34" i="2" s="1"/>
  <c r="W13" i="2"/>
  <c r="V13" i="2"/>
  <c r="U13" i="2"/>
  <c r="T13" i="2"/>
  <c r="T34" i="2" s="1"/>
  <c r="S13" i="2"/>
  <c r="S34" i="2" s="1"/>
  <c r="Y34" i="2"/>
  <c r="U34" i="2"/>
  <c r="R34" i="2"/>
  <c r="W34" i="2"/>
  <c r="V34" i="2"/>
  <c r="U33" i="2"/>
  <c r="R35" i="2"/>
  <c r="Q35" i="2"/>
  <c r="Q34" i="2"/>
  <c r="R33" i="2"/>
  <c r="Q33" i="2"/>
  <c r="Q32" i="2"/>
  <c r="R32" i="2"/>
  <c r="S3" i="2"/>
  <c r="T3" i="2" s="1"/>
  <c r="U3" i="2" s="1"/>
  <c r="V3" i="2" s="1"/>
  <c r="W3" i="2" s="1"/>
  <c r="X3" i="2" s="1"/>
  <c r="Y3" i="2" s="1"/>
  <c r="S42" i="2"/>
  <c r="T42" i="2" s="1"/>
  <c r="U42" i="2" s="1"/>
  <c r="V42" i="2" s="1"/>
  <c r="W42" i="2" s="1"/>
  <c r="X42" i="2" s="1"/>
  <c r="S6" i="2"/>
  <c r="T6" i="2" s="1"/>
  <c r="S44" i="2"/>
  <c r="T44" i="2" s="1"/>
  <c r="U44" i="2" s="1"/>
  <c r="V44" i="2" s="1"/>
  <c r="W44" i="2" s="1"/>
  <c r="X44" i="2" s="1"/>
  <c r="Y44" i="2" s="1"/>
  <c r="K45" i="2"/>
  <c r="N3" i="2"/>
  <c r="N15" i="2"/>
  <c r="N8" i="2"/>
  <c r="N10" i="2" s="1"/>
  <c r="R24" i="2"/>
  <c r="T40" i="2"/>
  <c r="S40" i="2"/>
  <c r="R40" i="2"/>
  <c r="Q40" i="2"/>
  <c r="P40" i="2"/>
  <c r="R15" i="2"/>
  <c r="Q15" i="2"/>
  <c r="P15" i="2"/>
  <c r="R8" i="2"/>
  <c r="R10" i="2" s="1"/>
  <c r="R28" i="2" s="1"/>
  <c r="Q8" i="2"/>
  <c r="Q10" i="2" s="1"/>
  <c r="P8" i="2"/>
  <c r="P10" i="2" s="1"/>
  <c r="Q2" i="2"/>
  <c r="R2" i="2" s="1"/>
  <c r="S2" i="2" s="1"/>
  <c r="T2" i="2" s="1"/>
  <c r="U2" i="2" s="1"/>
  <c r="V2" i="2" s="1"/>
  <c r="W2" i="2" s="1"/>
  <c r="X2" i="2" s="1"/>
  <c r="Y2" i="2" s="1"/>
  <c r="F39" i="2"/>
  <c r="F38" i="2"/>
  <c r="F37" i="2"/>
  <c r="G24" i="2"/>
  <c r="K24" i="2"/>
  <c r="J24" i="2"/>
  <c r="J43" i="2"/>
  <c r="J45" i="2"/>
  <c r="K43" i="2"/>
  <c r="H24" i="2"/>
  <c r="L24" i="2"/>
  <c r="K40" i="2"/>
  <c r="G40" i="2"/>
  <c r="H39" i="2"/>
  <c r="I39" i="2" s="1"/>
  <c r="J39" i="2" s="1"/>
  <c r="H38" i="2"/>
  <c r="I38" i="2" s="1"/>
  <c r="J38" i="2" s="1"/>
  <c r="H37" i="2"/>
  <c r="I37" i="2" s="1"/>
  <c r="J37" i="2" s="1"/>
  <c r="L39" i="2"/>
  <c r="M39" i="2" s="1"/>
  <c r="L38" i="2"/>
  <c r="L37" i="2"/>
  <c r="M37" i="2" s="1"/>
  <c r="I24" i="2"/>
  <c r="M24" i="2"/>
  <c r="L43" i="2"/>
  <c r="L45" i="2"/>
  <c r="E40" i="2"/>
  <c r="D40" i="2"/>
  <c r="C40" i="2"/>
  <c r="L15" i="2"/>
  <c r="K15" i="2"/>
  <c r="J15" i="2"/>
  <c r="I15" i="2"/>
  <c r="H15" i="2"/>
  <c r="G15" i="2"/>
  <c r="F15" i="2"/>
  <c r="E15" i="2"/>
  <c r="D15" i="2"/>
  <c r="C15" i="2"/>
  <c r="M15" i="2"/>
  <c r="M43" i="2"/>
  <c r="M45" i="2"/>
  <c r="L8" i="2"/>
  <c r="L10" i="2" s="1"/>
  <c r="L28" i="2" s="1"/>
  <c r="K8" i="2"/>
  <c r="K10" i="2" s="1"/>
  <c r="K28" i="2" s="1"/>
  <c r="J8" i="2"/>
  <c r="J10" i="2" s="1"/>
  <c r="J28" i="2" s="1"/>
  <c r="I8" i="2"/>
  <c r="I10" i="2" s="1"/>
  <c r="I28" i="2" s="1"/>
  <c r="H8" i="2"/>
  <c r="H10" i="2" s="1"/>
  <c r="H28" i="2" s="1"/>
  <c r="G8" i="2"/>
  <c r="G10" i="2" s="1"/>
  <c r="G28" i="2" s="1"/>
  <c r="F8" i="2"/>
  <c r="F10" i="2" s="1"/>
  <c r="F28" i="2" s="1"/>
  <c r="E8" i="2"/>
  <c r="E10" i="2" s="1"/>
  <c r="D8" i="2"/>
  <c r="D10" i="2" s="1"/>
  <c r="C8" i="2"/>
  <c r="C10" i="2" s="1"/>
  <c r="M8" i="2"/>
  <c r="M10" i="2" s="1"/>
  <c r="M28" i="2" s="1"/>
  <c r="L6" i="1"/>
  <c r="L4" i="1"/>
  <c r="L3" i="1" a="1"/>
  <c r="L3" i="1" s="1"/>
  <c r="L5" i="1" s="1"/>
  <c r="L8" i="1" s="1"/>
  <c r="AB20" i="2" l="1"/>
  <c r="AC20" i="2" s="1"/>
  <c r="AD20" i="2" s="1"/>
  <c r="AE20" i="2" s="1"/>
  <c r="AF20" i="2" s="1"/>
  <c r="AG20" i="2" s="1"/>
  <c r="AH20" i="2" s="1"/>
  <c r="AI20" i="2" s="1"/>
  <c r="AJ20" i="2" s="1"/>
  <c r="AK20" i="2" s="1"/>
  <c r="AL20" i="2" s="1"/>
  <c r="AM20" i="2" s="1"/>
  <c r="AN20" i="2" s="1"/>
  <c r="AO20" i="2" s="1"/>
  <c r="AP20" i="2" s="1"/>
  <c r="AQ20" i="2" s="1"/>
  <c r="AR20" i="2" s="1"/>
  <c r="AS20" i="2" s="1"/>
  <c r="AT20" i="2" s="1"/>
  <c r="AU20" i="2" s="1"/>
  <c r="AV20" i="2" s="1"/>
  <c r="AW20" i="2" s="1"/>
  <c r="AX20" i="2" s="1"/>
  <c r="AY20" i="2" s="1"/>
  <c r="AZ20" i="2" s="1"/>
  <c r="BA20" i="2" s="1"/>
  <c r="BB20" i="2" s="1"/>
  <c r="BC20" i="2" s="1"/>
  <c r="BD20" i="2" s="1"/>
  <c r="BE20" i="2" s="1"/>
  <c r="BF20" i="2" s="1"/>
  <c r="BG20" i="2" s="1"/>
  <c r="BH20" i="2" s="1"/>
  <c r="BI20" i="2" s="1"/>
  <c r="BJ20" i="2" s="1"/>
  <c r="BK20" i="2" s="1"/>
  <c r="BL20" i="2" s="1"/>
  <c r="BM20" i="2" s="1"/>
  <c r="BN20" i="2" s="1"/>
  <c r="BO20" i="2" s="1"/>
  <c r="BP20" i="2" s="1"/>
  <c r="BQ20" i="2" s="1"/>
  <c r="BR20" i="2" s="1"/>
  <c r="BS20" i="2" s="1"/>
  <c r="BT20" i="2" s="1"/>
  <c r="BU20" i="2" s="1"/>
  <c r="BV20" i="2" s="1"/>
  <c r="BW20" i="2" s="1"/>
  <c r="BX20" i="2" s="1"/>
  <c r="T35" i="2"/>
  <c r="V14" i="2"/>
  <c r="U35" i="2"/>
  <c r="S15" i="2"/>
  <c r="V32" i="2"/>
  <c r="U15" i="2"/>
  <c r="T15" i="2"/>
  <c r="P16" i="2"/>
  <c r="P18" i="2" s="1"/>
  <c r="P20" i="2" s="1"/>
  <c r="P22" i="2" s="1"/>
  <c r="D16" i="2"/>
  <c r="D18" i="2" s="1"/>
  <c r="D20" i="2" s="1"/>
  <c r="D22" i="2" s="1"/>
  <c r="E16" i="2"/>
  <c r="E18" i="2" s="1"/>
  <c r="E20" i="2" s="1"/>
  <c r="E22" i="2" s="1"/>
  <c r="I40" i="2"/>
  <c r="L40" i="2"/>
  <c r="K26" i="2"/>
  <c r="J26" i="2"/>
  <c r="P28" i="2"/>
  <c r="C16" i="2"/>
  <c r="C18" i="2" s="1"/>
  <c r="C20" i="2" s="1"/>
  <c r="C22" i="2" s="1"/>
  <c r="L26" i="2"/>
  <c r="Y42" i="2"/>
  <c r="Y24" i="2"/>
  <c r="T24" i="2"/>
  <c r="S24" i="2"/>
  <c r="S5" i="2"/>
  <c r="S8" i="2" s="1"/>
  <c r="S9" i="2" s="1"/>
  <c r="T5" i="2"/>
  <c r="T8" i="2" s="1"/>
  <c r="T9" i="2" s="1"/>
  <c r="U6" i="2"/>
  <c r="N16" i="2"/>
  <c r="N18" i="2" s="1"/>
  <c r="N20" i="2" s="1"/>
  <c r="N22" i="2" s="1"/>
  <c r="M16" i="2"/>
  <c r="M18" i="2" s="1"/>
  <c r="M20" i="2" s="1"/>
  <c r="M26" i="2"/>
  <c r="R26" i="2"/>
  <c r="Q16" i="2"/>
  <c r="Q18" i="2" s="1"/>
  <c r="Q20" i="2" s="1"/>
  <c r="Q22" i="2" s="1"/>
  <c r="Q28" i="2"/>
  <c r="R16" i="2"/>
  <c r="F40" i="2"/>
  <c r="J40" i="2"/>
  <c r="F16" i="2"/>
  <c r="J16" i="2"/>
  <c r="H40" i="2"/>
  <c r="G16" i="2"/>
  <c r="K16" i="2"/>
  <c r="M38" i="2"/>
  <c r="M40" i="2" s="1"/>
  <c r="L16" i="2"/>
  <c r="H16" i="2"/>
  <c r="I16" i="2"/>
  <c r="AB24" i="2" l="1"/>
  <c r="W14" i="2"/>
  <c r="V35" i="2"/>
  <c r="V15" i="2"/>
  <c r="P30" i="2"/>
  <c r="P29" i="2"/>
  <c r="H18" i="2"/>
  <c r="H20" i="2" s="1"/>
  <c r="H29" i="2"/>
  <c r="F18" i="2"/>
  <c r="F20" i="2" s="1"/>
  <c r="F29" i="2"/>
  <c r="L18" i="2"/>
  <c r="L20" i="2" s="1"/>
  <c r="L29" i="2"/>
  <c r="G18" i="2"/>
  <c r="G20" i="2" s="1"/>
  <c r="G29" i="2"/>
  <c r="I18" i="2"/>
  <c r="I20" i="2" s="1"/>
  <c r="I29" i="2"/>
  <c r="K18" i="2"/>
  <c r="K20" i="2" s="1"/>
  <c r="K29" i="2"/>
  <c r="J18" i="2"/>
  <c r="J20" i="2" s="1"/>
  <c r="J29" i="2"/>
  <c r="U5" i="2"/>
  <c r="U8" i="2" s="1"/>
  <c r="U9" i="2" s="1"/>
  <c r="V24" i="2"/>
  <c r="U24" i="2"/>
  <c r="V5" i="2"/>
  <c r="S10" i="2"/>
  <c r="S28" i="2" s="1"/>
  <c r="S26" i="2"/>
  <c r="T10" i="2"/>
  <c r="T26" i="2"/>
  <c r="V6" i="2"/>
  <c r="W24" i="2"/>
  <c r="X24" i="2"/>
  <c r="M29" i="2"/>
  <c r="M22" i="2"/>
  <c r="M30" i="2"/>
  <c r="Q30" i="2"/>
  <c r="Q29" i="2"/>
  <c r="R18" i="2"/>
  <c r="R20" i="2" s="1"/>
  <c r="R29" i="2"/>
  <c r="X14" i="2" l="1"/>
  <c r="W35" i="2"/>
  <c r="W15" i="2"/>
  <c r="G22" i="2"/>
  <c r="G30" i="2"/>
  <c r="J22" i="2"/>
  <c r="J30" i="2"/>
  <c r="L22" i="2"/>
  <c r="L30" i="2"/>
  <c r="K22" i="2"/>
  <c r="K30" i="2"/>
  <c r="F22" i="2"/>
  <c r="F30" i="2"/>
  <c r="I22" i="2"/>
  <c r="I30" i="2"/>
  <c r="H22" i="2"/>
  <c r="H30" i="2"/>
  <c r="T16" i="2"/>
  <c r="T28" i="2"/>
  <c r="S16" i="2"/>
  <c r="S18" i="2" s="1"/>
  <c r="U10" i="2"/>
  <c r="U26" i="2"/>
  <c r="W5" i="2"/>
  <c r="W6" i="2"/>
  <c r="V8" i="2"/>
  <c r="V9" i="2" s="1"/>
  <c r="R22" i="2"/>
  <c r="R30" i="2"/>
  <c r="S19" i="2" l="1"/>
  <c r="S20" i="2" s="1"/>
  <c r="Y14" i="2"/>
  <c r="X35" i="2"/>
  <c r="X15" i="2"/>
  <c r="S29" i="2"/>
  <c r="T18" i="2"/>
  <c r="T29" i="2"/>
  <c r="U16" i="2"/>
  <c r="U28" i="2"/>
  <c r="V10" i="2"/>
  <c r="V26" i="2"/>
  <c r="Y5" i="2"/>
  <c r="X5" i="2"/>
  <c r="X6" i="2"/>
  <c r="W8" i="2"/>
  <c r="W9" i="2" s="1"/>
  <c r="S22" i="2" l="1"/>
  <c r="S30" i="2"/>
  <c r="T19" i="2"/>
  <c r="T20" i="2" s="1"/>
  <c r="Y15" i="2"/>
  <c r="Y35" i="2"/>
  <c r="V16" i="2"/>
  <c r="V28" i="2"/>
  <c r="U18" i="2"/>
  <c r="U29" i="2"/>
  <c r="W10" i="2"/>
  <c r="W26" i="2"/>
  <c r="Y6" i="2"/>
  <c r="Y8" i="2" s="1"/>
  <c r="Y9" i="2" s="1"/>
  <c r="X8" i="2"/>
  <c r="X9" i="2" s="1"/>
  <c r="U19" i="2" l="1"/>
  <c r="U20" i="2" s="1"/>
  <c r="T22" i="2"/>
  <c r="T30" i="2"/>
  <c r="V18" i="2"/>
  <c r="V29" i="2"/>
  <c r="W16" i="2"/>
  <c r="W28" i="2"/>
  <c r="X10" i="2"/>
  <c r="X26" i="2"/>
  <c r="Y10" i="2"/>
  <c r="Y26" i="2"/>
  <c r="V19" i="2" l="1"/>
  <c r="V20" i="2" s="1"/>
  <c r="U22" i="2"/>
  <c r="U30" i="2"/>
  <c r="Y16" i="2"/>
  <c r="Y28" i="2"/>
  <c r="W18" i="2"/>
  <c r="W29" i="2"/>
  <c r="X16" i="2"/>
  <c r="X28" i="2"/>
  <c r="V30" i="2" l="1"/>
  <c r="V22" i="2"/>
  <c r="W19" i="2"/>
  <c r="W20" i="2" s="1"/>
  <c r="X18" i="2"/>
  <c r="X29" i="2"/>
  <c r="Y18" i="2"/>
  <c r="Y29" i="2"/>
  <c r="X19" i="2" l="1"/>
  <c r="X20" i="2" s="1"/>
  <c r="Y19" i="2"/>
  <c r="Y20" i="2" s="1"/>
  <c r="W22" i="2"/>
  <c r="W30" i="2"/>
  <c r="Y22" i="2" l="1"/>
  <c r="Y30" i="2"/>
  <c r="X22" i="2"/>
  <c r="X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<sst xmlns="http://schemas.openxmlformats.org/spreadsheetml/2006/main" count="55" uniqueCount="54">
  <si>
    <t>Ticket</t>
  </si>
  <si>
    <t>Price</t>
  </si>
  <si>
    <t>Shares</t>
  </si>
  <si>
    <t>MC</t>
  </si>
  <si>
    <t>Cash</t>
  </si>
  <si>
    <t>Debt</t>
  </si>
  <si>
    <t>EV</t>
  </si>
  <si>
    <t>Subscribers</t>
  </si>
  <si>
    <t>Q1 2023</t>
  </si>
  <si>
    <t>Q2 2022</t>
  </si>
  <si>
    <t>Q3 2022</t>
  </si>
  <si>
    <t>Q4 2022</t>
  </si>
  <si>
    <t>Q1 2022</t>
  </si>
  <si>
    <t>Q2 2023</t>
  </si>
  <si>
    <t>Q3 2023</t>
  </si>
  <si>
    <t>Q4 2023</t>
  </si>
  <si>
    <t>Q1 2024</t>
  </si>
  <si>
    <t>Q2 2024</t>
  </si>
  <si>
    <t>Q3 2024</t>
  </si>
  <si>
    <t>Revenue</t>
  </si>
  <si>
    <t>COGS</t>
  </si>
  <si>
    <t>Gross Profit</t>
  </si>
  <si>
    <t>S&amp;M</t>
  </si>
  <si>
    <t>Operations and support</t>
  </si>
  <si>
    <t>R&amp;D</t>
  </si>
  <si>
    <t>G&amp;A</t>
  </si>
  <si>
    <t>Total Opex</t>
  </si>
  <si>
    <t>Operating Income</t>
  </si>
  <si>
    <t>Other Income</t>
  </si>
  <si>
    <t>Pretax Income</t>
  </si>
  <si>
    <t>Taxes</t>
  </si>
  <si>
    <t>Net Income</t>
  </si>
  <si>
    <t>EPS</t>
  </si>
  <si>
    <t>Subs Q/Q</t>
  </si>
  <si>
    <t>Revenue y/y</t>
  </si>
  <si>
    <t>Gross Margin</t>
  </si>
  <si>
    <t>Operating Margin</t>
  </si>
  <si>
    <t>Net Margin</t>
  </si>
  <si>
    <t>CFFO</t>
  </si>
  <si>
    <t>CAPEX</t>
  </si>
  <si>
    <t>SBC</t>
  </si>
  <si>
    <t>FCF</t>
  </si>
  <si>
    <t xml:space="preserve">Wholesale </t>
  </si>
  <si>
    <t>Online</t>
  </si>
  <si>
    <t>Monthly ORPS</t>
  </si>
  <si>
    <t>Net Orders</t>
  </si>
  <si>
    <t>Q4 2024</t>
  </si>
  <si>
    <t>S&amp;M %</t>
  </si>
  <si>
    <t>Operations and support %</t>
  </si>
  <si>
    <t>R&amp;D %</t>
  </si>
  <si>
    <t>G&amp;A %</t>
  </si>
  <si>
    <t>Discount</t>
  </si>
  <si>
    <t>Maturity</t>
  </si>
  <si>
    <t>NPV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</si>
</sst>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_([$$-409]* \(#,##0.00\);_([$$-409]* &quot;-&quot;??_);_(@_)"/>
    <numFmt numFmtId="165" formatCode="#,##0.000"/>
    <numFmt numFmtId="166" formatCode="[$$-409]#,##0"/>
    <numFmt numFmtId="167" formatCode="0.0%"/>
    <numFmt numFmtId="168" formatCode="_-[$$-409]* #,##0.00_ ;_-[$$-409]* \-#,##0.00\ ;_-[$$-409]* &quot;-&quot;??_ ;_-@_ "/>
    <numFmt numFmtId="169" formatCode="_-[$$-409]* #,##0_ ;_-[$$-409]* \-#,##0\ ;_-[$$-409]* &quot;-&quot;_ ;_-@_ "/>
    <numFmt numFmtId="170" formatCode="#,##0_ ;[Red]\-#,##0\ "/>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3" fontId="2" fillId="0" borderId="0" xfId="0" applyNumberFormat="1" applyFont="1"/>
    <xf numFmtId="9" fontId="1" fillId="0" borderId="0" xfId="0" applyNumberFormat="1" applyFont="1"/>
    <xf numFmtId="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9" fontId="2" fillId="0" borderId="0" xfId="0" applyNumberFormat="1" applyFont="1"/>
    <xf numFmtId="169" fontId="1" fillId="0" borderId="0" xfId="0" applyNumberFormat="1" applyFont="1"/>
    <xf numFmtId="17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18</xdr:col>
      <xdr:colOff>0</xdr:colOff>
      <xdr:row>0</xdr:row>
      <xdr:rowOff>0</xdr:rowOff>
    </xdr:from>
    <xdr:to>
      <xdr:col>18</xdr:col>
      <xdr:colOff>0</xdr:colOff>
      <xdr:row>49</xdr:row>
      <xdr:rowOff>38100</xdr:rowOff>
    </xdr:to>
    <xdr:cxnSp macro="">
      <xdr:nvCxnSpPr>
        <xdr:cNvPr id="3" name="Straight Connector 2">
          <a:extLst>
            <a:ext uri="{FF2B5EF4-FFF2-40B4-BE49-F238E27FC236}">
              <a16:creationId xmlns:a16="http://schemas.microsoft.com/office/drawing/2014/main" id="{B6B39C96-688E-5085-0D8D-854A8A5EB582}"/>
            </a:ext>
          </a:extLst>
        </xdr:cNvPr>
        <xdr:cNvCxnSpPr/>
      </xdr:nvCxnSpPr>
      <xdr:spPr>
        <a:xfrm>
          <a:off x="11734800" y="0"/>
          <a:ext cx="0" cy="71628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0</xdr:colOff>
      <xdr:row>0</xdr:row>
      <xdr:rowOff>0</xdr:rowOff>
    </xdr:from>
    <xdr:to>
      <xdr:col>13</xdr:col>
      <xdr:colOff>9525</xdr:colOff>
      <xdr:row>49</xdr:row>
      <xdr:rowOff>0</xdr:rowOff>
    </xdr:to>
    <xdr:cxnSp macro="">
      <xdr:nvCxnSpPr>
        <xdr:cNvPr id="4" name="Straight Connector 3">
          <a:extLst>
            <a:ext uri="{FF2B5EF4-FFF2-40B4-BE49-F238E27FC236}">
              <a16:creationId xmlns:a16="http://schemas.microsoft.com/office/drawing/2014/main" id="{81F2EA24-9144-442E-A5F3-9B0549BC0E7C}"/>
            </a:ext>
          </a:extLst>
        </xdr:cNvPr>
        <xdr:cNvCxnSpPr/>
      </xdr:nvCxnSpPr>
      <xdr:spPr>
        <a:xfrm>
          <a:off x="8686800" y="0"/>
          <a:ext cx="9525" cy="71247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https://www.bing.com/financeapi/forcetrigger?t=brg5u2&amp;q=XNYS%3aHIMS&amp;form=skydnc</v>
    <v>Learn more on Bing</v>
  </rv>
  <rv s="1">
    <v>en-GB</v>
    <v>brg5u2</v>
    <v>268435456</v>
    <v>1</v>
    <v>Powered by Refinitiv</v>
    <v>0</v>
    <v>HIMS &amp; HERS HEALTH, INC. (XNYS:HIMS)</v>
    <v>2</v>
    <v>3</v>
    <v>Finance</v>
    <v>4</v>
    <v>30.44</v>
    <v>7.4</v>
    <v>1.0649999999999999</v>
    <v>-1.53</v>
    <v>0</v>
    <v>-7.3381000000000002E-2</v>
    <v>0</v>
    <v>USD</v>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v>1046</v>
    <v>New York Stock Exchange</v>
    <v>XNYS</v>
    <v>XNYS</v>
    <v>2269 Chestnut St, #523, SAN FRANCISCO, CA, 94123 US</v>
    <v>21.38</v>
    <v>Healthcare Providers &amp; Services</v>
    <v>Stock</v>
    <v>45611.888891793751</v>
    <v>0</v>
    <v>19.150099999999998</v>
    <v>4221017000</v>
    <v>HIMS &amp; HERS HEALTH, INC.</v>
    <v>HIMS &amp; HERS HEALTH, INC.</v>
    <v>21.335000000000001</v>
    <v>44.220599999999997</v>
    <v>20.85</v>
    <v>19.32</v>
    <v>19.32</v>
    <v>218479100</v>
    <v>HIMS</v>
    <v>HIMS &amp; HERS HEALTH, INC. (XNYS:HIMS)</v>
    <v>32409622</v>
    <v>17305549</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E75BB-D52C-4F47-B456-9BCB69CCD168}">
  <dimension ref="K2:L8"/>
  <sheetViews>
    <sheetView topLeftCell="D1" workbookViewId="0">
      <selection activeCell="L9" sqref="L9"/>
    </sheetView>
  </sheetViews>
  <sheetFormatPr defaultRowHeight="12.75" x14ac:dyDescent="0.2"/>
  <cols>
    <col min="1" max="16384" width="9.140625" style="1"/>
  </cols>
  <sheetData>
    <row r="2" spans="11:12" x14ac:dyDescent="0.2">
      <c r="K2" s="1" t="s">
        <v>0</v>
      </c>
      <c r="L2" s="1" t="e" vm="1">
        <v>#VALUE!</v>
      </c>
    </row>
    <row r="3" spans="11:12" x14ac:dyDescent="0.2">
      <c r="K3" s="1" t="s">
        <v>1</v>
      </c>
      <c r="L3" s="2" cm="1">
        <f t="array" aca="1" ref="L3" ca="1">+_FV(L2,"Price")</f>
        <v>19.32</v>
      </c>
    </row>
    <row r="4" spans="11:12" x14ac:dyDescent="0.2">
      <c r="K4" s="1" t="s">
        <v>2</v>
      </c>
      <c r="L4" s="1">
        <f>210.101491+8.377623</f>
        <v>218.47911400000001</v>
      </c>
    </row>
    <row r="5" spans="11:12" x14ac:dyDescent="0.2">
      <c r="K5" s="1" t="s">
        <v>3</v>
      </c>
      <c r="L5" s="3">
        <f ca="1">+L3*L4</f>
        <v>4221.0164824800004</v>
      </c>
    </row>
    <row r="6" spans="11:12" x14ac:dyDescent="0.2">
      <c r="K6" s="1" t="s">
        <v>4</v>
      </c>
      <c r="L6" s="3">
        <f>165.518+88.553+0.856</f>
        <v>254.92699999999999</v>
      </c>
    </row>
    <row r="7" spans="11:12" x14ac:dyDescent="0.2">
      <c r="K7" s="1" t="s">
        <v>5</v>
      </c>
      <c r="L7" s="3"/>
    </row>
    <row r="8" spans="11:12" x14ac:dyDescent="0.2">
      <c r="K8" s="1" t="s">
        <v>6</v>
      </c>
      <c r="L8" s="3">
        <f ca="1">+L5-L6+L7</f>
        <v>3966.0894824800002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62374-1732-4DBA-BA2C-3373CF30B6D9}">
  <dimension ref="B2:BX45"/>
  <sheetViews>
    <sheetView tabSelected="1" workbookViewId="0">
      <pane xSplit="2" ySplit="2" topLeftCell="S3" activePane="bottomRight" state="frozen"/>
      <selection pane="topRight" activeCell="C1" sqref="C1"/>
      <selection pane="bottomLeft" activeCell="A3" sqref="A3"/>
      <selection pane="bottomRight" activeCell="X14" sqref="X14"/>
    </sheetView>
  </sheetViews>
  <sheetFormatPr defaultRowHeight="12.75" x14ac:dyDescent="0.2"/>
  <cols>
    <col min="1" max="1" width="9.140625" style="1"/>
    <col min="2" max="2" width="20.5703125" style="1" bestFit="1" customWidth="1"/>
    <col min="3" max="27" width="9.140625" style="1"/>
    <col min="28" max="28" width="10.7109375" style="1" bestFit="1" customWidth="1"/>
    <col min="29" max="16384" width="9.140625" style="1"/>
  </cols>
  <sheetData>
    <row r="2" spans="2:25" x14ac:dyDescent="0.2">
      <c r="C2" s="4" t="s">
        <v>12</v>
      </c>
      <c r="D2" s="4" t="s">
        <v>9</v>
      </c>
      <c r="E2" s="4" t="s">
        <v>10</v>
      </c>
      <c r="F2" s="4" t="s">
        <v>11</v>
      </c>
      <c r="G2" s="4" t="s">
        <v>8</v>
      </c>
      <c r="H2" s="4" t="s">
        <v>13</v>
      </c>
      <c r="I2" s="4" t="s">
        <v>14</v>
      </c>
      <c r="J2" s="4" t="s">
        <v>15</v>
      </c>
      <c r="K2" s="4" t="s">
        <v>16</v>
      </c>
      <c r="L2" s="4" t="s">
        <v>17</v>
      </c>
      <c r="M2" s="4" t="s">
        <v>18</v>
      </c>
      <c r="N2" s="4" t="s">
        <v>46</v>
      </c>
      <c r="P2" s="4">
        <v>2021</v>
      </c>
      <c r="Q2" s="4">
        <f>+P2+1</f>
        <v>2022</v>
      </c>
      <c r="R2" s="4">
        <f t="shared" ref="R2:Y2" si="0">+Q2+1</f>
        <v>2023</v>
      </c>
      <c r="S2" s="4">
        <f t="shared" si="0"/>
        <v>2024</v>
      </c>
      <c r="T2" s="4">
        <f t="shared" si="0"/>
        <v>2025</v>
      </c>
      <c r="U2" s="4">
        <f t="shared" si="0"/>
        <v>2026</v>
      </c>
      <c r="V2" s="4">
        <f t="shared" si="0"/>
        <v>2027</v>
      </c>
      <c r="W2" s="4">
        <f t="shared" si="0"/>
        <v>2028</v>
      </c>
      <c r="X2" s="4">
        <f t="shared" si="0"/>
        <v>2029</v>
      </c>
      <c r="Y2" s="4">
        <f t="shared" si="0"/>
        <v>2030</v>
      </c>
    </row>
    <row r="3" spans="2:25" x14ac:dyDescent="0.2">
      <c r="B3" s="1" t="s">
        <v>7</v>
      </c>
      <c r="C3" s="8"/>
      <c r="D3" s="8"/>
      <c r="E3" s="8"/>
      <c r="F3" s="8">
        <v>1.04</v>
      </c>
      <c r="G3" s="8">
        <v>1.2090000000000001</v>
      </c>
      <c r="H3" s="8">
        <v>1.3</v>
      </c>
      <c r="I3" s="8">
        <v>1.4259999999999999</v>
      </c>
      <c r="J3" s="8">
        <v>1.5369999999999999</v>
      </c>
      <c r="K3" s="8">
        <v>1.7090000000000001</v>
      </c>
      <c r="L3" s="8">
        <v>1.8640000000000001</v>
      </c>
      <c r="M3" s="8">
        <v>2.0470000000000002</v>
      </c>
      <c r="N3" s="8">
        <f>+M3*1.09</f>
        <v>2.2312300000000005</v>
      </c>
      <c r="Q3" s="1">
        <v>1.04</v>
      </c>
      <c r="R3" s="1">
        <v>1.5369999999999999</v>
      </c>
      <c r="S3" s="8">
        <f>+R3*1.4</f>
        <v>2.1517999999999997</v>
      </c>
      <c r="T3" s="8">
        <f>+S3*1.06^4</f>
        <v>2.7165979225280004</v>
      </c>
      <c r="U3" s="8">
        <f t="shared" ref="U3:Y3" si="1">+T3*1.05^4</f>
        <v>3.3020417535698003</v>
      </c>
      <c r="V3" s="8">
        <f t="shared" si="1"/>
        <v>4.0136523892250517</v>
      </c>
      <c r="W3" s="8">
        <f t="shared" si="1"/>
        <v>4.8786195644304833</v>
      </c>
      <c r="X3" s="8">
        <f t="shared" si="1"/>
        <v>5.9299925719375306</v>
      </c>
      <c r="Y3" s="8">
        <f t="shared" si="1"/>
        <v>7.2079430336436427</v>
      </c>
    </row>
    <row r="4" spans="2:25" x14ac:dyDescent="0.2">
      <c r="C4" s="3"/>
      <c r="D4" s="3"/>
      <c r="E4" s="3"/>
      <c r="F4" s="3"/>
      <c r="G4" s="3"/>
      <c r="H4" s="3"/>
      <c r="I4" s="3"/>
      <c r="J4" s="3"/>
      <c r="K4" s="3"/>
      <c r="L4" s="3"/>
      <c r="M4" s="3"/>
      <c r="N4" s="3"/>
    </row>
    <row r="5" spans="2:25" x14ac:dyDescent="0.2">
      <c r="B5" s="1" t="s">
        <v>43</v>
      </c>
      <c r="C5" s="3"/>
      <c r="D5" s="3"/>
      <c r="E5" s="3"/>
      <c r="F5" s="3">
        <v>161.16200000000001</v>
      </c>
      <c r="G5" s="3">
        <v>184.17500000000001</v>
      </c>
      <c r="H5" s="3">
        <v>201.178</v>
      </c>
      <c r="I5" s="3">
        <v>219.66499999999999</v>
      </c>
      <c r="J5" s="3">
        <v>237.363</v>
      </c>
      <c r="K5" s="3">
        <v>267.76100000000002</v>
      </c>
      <c r="L5" s="3">
        <v>306.84300000000002</v>
      </c>
      <c r="M5" s="3">
        <v>392.57299999999998</v>
      </c>
      <c r="N5" s="3"/>
      <c r="P5" s="3"/>
      <c r="Q5" s="3">
        <v>502.50700000000001</v>
      </c>
      <c r="R5" s="3">
        <v>842.38099999999997</v>
      </c>
      <c r="S5" s="3">
        <f>+S3*S42*12</f>
        <v>1603.5213599999997</v>
      </c>
      <c r="T5" s="3">
        <f t="shared" ref="T5:Y5" si="2">+T3*T42*12</f>
        <v>2125.6292104612594</v>
      </c>
      <c r="U5" s="3">
        <f t="shared" si="2"/>
        <v>2712.9013700231371</v>
      </c>
      <c r="V5" s="3">
        <f t="shared" si="2"/>
        <v>3462.4259994415206</v>
      </c>
      <c r="W5" s="3">
        <f t="shared" si="2"/>
        <v>4419.0304646078475</v>
      </c>
      <c r="X5" s="3">
        <f t="shared" si="2"/>
        <v>5639.9271061048057</v>
      </c>
      <c r="Y5" s="3">
        <f t="shared" si="2"/>
        <v>7198.1349793655445</v>
      </c>
    </row>
    <row r="6" spans="2:25" x14ac:dyDescent="0.2">
      <c r="B6" s="1" t="s">
        <v>42</v>
      </c>
      <c r="C6" s="3"/>
      <c r="D6" s="3"/>
      <c r="E6" s="3"/>
      <c r="F6" s="3">
        <v>6.0410000000000004</v>
      </c>
      <c r="G6" s="3">
        <v>6.5949999999999998</v>
      </c>
      <c r="H6" s="3">
        <v>6.734</v>
      </c>
      <c r="I6" s="3">
        <v>7.0339999999999998</v>
      </c>
      <c r="J6" s="3">
        <v>9.2560000000000002</v>
      </c>
      <c r="K6" s="3">
        <v>10.41</v>
      </c>
      <c r="L6" s="3">
        <v>8.8049999999999997</v>
      </c>
      <c r="M6" s="3">
        <v>8.9830000000000005</v>
      </c>
      <c r="N6" s="3"/>
      <c r="P6" s="3"/>
      <c r="Q6" s="3">
        <v>24.408999999999999</v>
      </c>
      <c r="R6" s="3">
        <v>29.619</v>
      </c>
      <c r="S6" s="3">
        <f>+R6*1.1</f>
        <v>32.5809</v>
      </c>
      <c r="T6" s="3">
        <f t="shared" ref="T6:Y6" si="3">+S6*1.1</f>
        <v>35.838990000000003</v>
      </c>
      <c r="U6" s="3">
        <f t="shared" si="3"/>
        <v>39.422889000000005</v>
      </c>
      <c r="V6" s="3">
        <f t="shared" si="3"/>
        <v>43.365177900000006</v>
      </c>
      <c r="W6" s="3">
        <f t="shared" si="3"/>
        <v>47.701695690000008</v>
      </c>
      <c r="X6" s="3">
        <f t="shared" si="3"/>
        <v>52.471865259000012</v>
      </c>
      <c r="Y6" s="3">
        <f t="shared" si="3"/>
        <v>57.719051784900017</v>
      </c>
    </row>
    <row r="7" spans="2:25" x14ac:dyDescent="0.2">
      <c r="C7" s="3"/>
      <c r="D7" s="3"/>
      <c r="E7" s="3"/>
      <c r="F7" s="3"/>
      <c r="G7" s="3"/>
      <c r="H7" s="3"/>
      <c r="I7" s="3"/>
      <c r="J7" s="3"/>
      <c r="K7" s="3"/>
      <c r="L7" s="3"/>
      <c r="M7" s="3"/>
      <c r="N7" s="3"/>
    </row>
    <row r="8" spans="2:25" x14ac:dyDescent="0.2">
      <c r="B8" s="4" t="s">
        <v>19</v>
      </c>
      <c r="C8" s="5">
        <f t="shared" ref="C8:M8" si="4">+C5+C6</f>
        <v>0</v>
      </c>
      <c r="D8" s="5">
        <f t="shared" si="4"/>
        <v>0</v>
      </c>
      <c r="E8" s="5">
        <f t="shared" si="4"/>
        <v>0</v>
      </c>
      <c r="F8" s="5">
        <f t="shared" si="4"/>
        <v>167.203</v>
      </c>
      <c r="G8" s="5">
        <f t="shared" si="4"/>
        <v>190.77</v>
      </c>
      <c r="H8" s="5">
        <f t="shared" si="4"/>
        <v>207.91200000000001</v>
      </c>
      <c r="I8" s="5">
        <f t="shared" si="4"/>
        <v>226.69899999999998</v>
      </c>
      <c r="J8" s="5">
        <f t="shared" si="4"/>
        <v>246.619</v>
      </c>
      <c r="K8" s="5">
        <f t="shared" si="4"/>
        <v>278.17100000000005</v>
      </c>
      <c r="L8" s="5">
        <f t="shared" si="4"/>
        <v>315.64800000000002</v>
      </c>
      <c r="M8" s="5">
        <f>+M5+M6</f>
        <v>401.55599999999998</v>
      </c>
      <c r="N8" s="5">
        <f t="shared" ref="N8" si="5">+N5+N6</f>
        <v>0</v>
      </c>
      <c r="P8" s="5">
        <f t="shared" ref="P8:Y8" si="6">+P5+P6</f>
        <v>0</v>
      </c>
      <c r="Q8" s="5">
        <f t="shared" si="6"/>
        <v>526.91600000000005</v>
      </c>
      <c r="R8" s="5">
        <f t="shared" si="6"/>
        <v>872</v>
      </c>
      <c r="S8" s="5">
        <f t="shared" si="6"/>
        <v>1636.1022599999997</v>
      </c>
      <c r="T8" s="5">
        <f t="shared" si="6"/>
        <v>2161.4682004612596</v>
      </c>
      <c r="U8" s="5">
        <f t="shared" si="6"/>
        <v>2752.3242590231371</v>
      </c>
      <c r="V8" s="5">
        <f t="shared" si="6"/>
        <v>3505.7911773415208</v>
      </c>
      <c r="W8" s="5">
        <f t="shared" si="6"/>
        <v>4466.7321602978473</v>
      </c>
      <c r="X8" s="5">
        <f t="shared" si="6"/>
        <v>5692.3989713638057</v>
      </c>
      <c r="Y8" s="5">
        <f t="shared" si="6"/>
        <v>7255.8540311504448</v>
      </c>
    </row>
    <row r="9" spans="2:25" x14ac:dyDescent="0.2">
      <c r="B9" s="1" t="s">
        <v>20</v>
      </c>
      <c r="C9" s="3"/>
      <c r="D9" s="3"/>
      <c r="E9" s="3"/>
      <c r="F9" s="3">
        <v>34.866</v>
      </c>
      <c r="G9" s="3">
        <v>37.344999999999999</v>
      </c>
      <c r="H9" s="3">
        <v>37.753999999999998</v>
      </c>
      <c r="I9" s="3">
        <v>39.390999999999998</v>
      </c>
      <c r="J9" s="3">
        <v>42.561</v>
      </c>
      <c r="K9" s="3">
        <v>49.076000000000001</v>
      </c>
      <c r="L9" s="3">
        <v>59.034999999999997</v>
      </c>
      <c r="M9" s="3">
        <v>83.67</v>
      </c>
      <c r="N9" s="3"/>
      <c r="P9" s="3"/>
      <c r="Q9" s="3">
        <v>118.194</v>
      </c>
      <c r="R9" s="3">
        <v>157.05099999999999</v>
      </c>
      <c r="S9" s="3">
        <f>+S8*0.18</f>
        <v>294.49840679999994</v>
      </c>
      <c r="T9" s="3">
        <f t="shared" ref="T9:Y9" si="7">+T8*0.18</f>
        <v>389.0642760830267</v>
      </c>
      <c r="U9" s="3">
        <f t="shared" si="7"/>
        <v>495.41836662416466</v>
      </c>
      <c r="V9" s="3">
        <f t="shared" si="7"/>
        <v>631.04241192147367</v>
      </c>
      <c r="W9" s="3">
        <f t="shared" si="7"/>
        <v>804.01178885361253</v>
      </c>
      <c r="X9" s="3">
        <f t="shared" si="7"/>
        <v>1024.631814845485</v>
      </c>
      <c r="Y9" s="3">
        <f t="shared" si="7"/>
        <v>1306.05372560708</v>
      </c>
    </row>
    <row r="10" spans="2:25" x14ac:dyDescent="0.2">
      <c r="B10" s="1" t="s">
        <v>21</v>
      </c>
      <c r="C10" s="3">
        <f t="shared" ref="C10:L10" si="8">+C8-C9</f>
        <v>0</v>
      </c>
      <c r="D10" s="3">
        <f t="shared" si="8"/>
        <v>0</v>
      </c>
      <c r="E10" s="3">
        <f t="shared" si="8"/>
        <v>0</v>
      </c>
      <c r="F10" s="3">
        <f t="shared" si="8"/>
        <v>132.33699999999999</v>
      </c>
      <c r="G10" s="3">
        <f t="shared" si="8"/>
        <v>153.42500000000001</v>
      </c>
      <c r="H10" s="3">
        <f t="shared" si="8"/>
        <v>170.15800000000002</v>
      </c>
      <c r="I10" s="3">
        <f t="shared" si="8"/>
        <v>187.30799999999999</v>
      </c>
      <c r="J10" s="3">
        <f t="shared" si="8"/>
        <v>204.05799999999999</v>
      </c>
      <c r="K10" s="3">
        <f t="shared" si="8"/>
        <v>229.09500000000006</v>
      </c>
      <c r="L10" s="3">
        <f t="shared" si="8"/>
        <v>256.61300000000006</v>
      </c>
      <c r="M10" s="3">
        <f>+M8-M9</f>
        <v>317.88599999999997</v>
      </c>
      <c r="N10" s="3">
        <f t="shared" ref="N10" si="9">+N8-N9</f>
        <v>0</v>
      </c>
      <c r="P10" s="3">
        <f t="shared" ref="P10:Y10" si="10">+P8-P9</f>
        <v>0</v>
      </c>
      <c r="Q10" s="3">
        <f t="shared" si="10"/>
        <v>408.72200000000004</v>
      </c>
      <c r="R10" s="3">
        <f t="shared" si="10"/>
        <v>714.94900000000007</v>
      </c>
      <c r="S10" s="3">
        <f t="shared" si="10"/>
        <v>1341.6038531999998</v>
      </c>
      <c r="T10" s="3">
        <f t="shared" si="10"/>
        <v>1772.4039243782329</v>
      </c>
      <c r="U10" s="3">
        <f t="shared" si="10"/>
        <v>2256.9058923989724</v>
      </c>
      <c r="V10" s="3">
        <f t="shared" si="10"/>
        <v>2874.7487654200472</v>
      </c>
      <c r="W10" s="3">
        <f t="shared" si="10"/>
        <v>3662.7203714442348</v>
      </c>
      <c r="X10" s="3">
        <f t="shared" si="10"/>
        <v>4667.7671565183209</v>
      </c>
      <c r="Y10" s="3">
        <f t="shared" si="10"/>
        <v>5949.8003055433646</v>
      </c>
    </row>
    <row r="11" spans="2:25" x14ac:dyDescent="0.2">
      <c r="B11" s="1" t="s">
        <v>22</v>
      </c>
      <c r="C11" s="3"/>
      <c r="D11" s="3"/>
      <c r="E11" s="3"/>
      <c r="F11" s="3">
        <v>85.542000000000002</v>
      </c>
      <c r="G11" s="3">
        <v>97.245000000000005</v>
      </c>
      <c r="H11" s="3">
        <v>107.21899999999999</v>
      </c>
      <c r="I11" s="3">
        <v>116.07599999999999</v>
      </c>
      <c r="J11" s="3">
        <v>125.895</v>
      </c>
      <c r="K11" s="3">
        <v>130.553</v>
      </c>
      <c r="L11" s="3">
        <v>144.922</v>
      </c>
      <c r="M11" s="3">
        <v>182.28399999999999</v>
      </c>
      <c r="N11" s="3"/>
      <c r="P11" s="3"/>
      <c r="Q11" s="3">
        <v>272.58699999999999</v>
      </c>
      <c r="R11" s="3">
        <v>446.435</v>
      </c>
      <c r="S11" s="3">
        <f>+S8*0.45</f>
        <v>736.24601699999982</v>
      </c>
      <c r="T11" s="3">
        <f>+T8*0.435</f>
        <v>940.23866720064791</v>
      </c>
      <c r="U11" s="3">
        <f>+U8*0.41</f>
        <v>1128.4529461994862</v>
      </c>
      <c r="V11" s="3">
        <f>+V8*0.4</f>
        <v>1402.3164709366083</v>
      </c>
      <c r="W11" s="3">
        <f>+W8*0.39</f>
        <v>1742.0255425161604</v>
      </c>
      <c r="X11" s="3">
        <f>+X8*0.375</f>
        <v>2134.6496142614269</v>
      </c>
      <c r="Y11" s="3">
        <f>+Y8*0.37</f>
        <v>2684.6659915256646</v>
      </c>
    </row>
    <row r="12" spans="2:25" x14ac:dyDescent="0.2">
      <c r="B12" s="1" t="s">
        <v>23</v>
      </c>
      <c r="C12" s="3"/>
      <c r="D12" s="3"/>
      <c r="E12" s="3"/>
      <c r="F12" s="3">
        <v>22.521000000000001</v>
      </c>
      <c r="G12" s="3">
        <v>26.181999999999999</v>
      </c>
      <c r="H12" s="3">
        <v>29.227</v>
      </c>
      <c r="I12" s="3">
        <v>31.609000000000002</v>
      </c>
      <c r="J12" s="3">
        <v>32.838999999999999</v>
      </c>
      <c r="K12" s="3">
        <v>38.747</v>
      </c>
      <c r="L12" s="3">
        <v>41.453000000000003</v>
      </c>
      <c r="M12" s="3">
        <v>47.518999999999998</v>
      </c>
      <c r="N12" s="3"/>
      <c r="P12" s="3"/>
      <c r="Q12" s="3">
        <v>77.403000000000006</v>
      </c>
      <c r="R12" s="3">
        <v>119.857</v>
      </c>
      <c r="S12" s="3">
        <f>+S8*0.145</f>
        <v>237.23482769999993</v>
      </c>
      <c r="T12" s="3">
        <f>+T8*0.14</f>
        <v>302.6055480645764</v>
      </c>
      <c r="U12" s="3">
        <f>+U8*0.135</f>
        <v>371.56377496812354</v>
      </c>
      <c r="V12" s="3">
        <f>+V8*0.12</f>
        <v>420.6949412809825</v>
      </c>
      <c r="W12" s="3">
        <f t="shared" ref="W12" si="11">+W8*0.12</f>
        <v>536.00785923574165</v>
      </c>
      <c r="X12" s="3">
        <f>+X8*0.11</f>
        <v>626.16388685001868</v>
      </c>
      <c r="Y12" s="3">
        <f t="shared" ref="Y12" si="12">+Y8*0.11</f>
        <v>798.14394342654896</v>
      </c>
    </row>
    <row r="13" spans="2:25" x14ac:dyDescent="0.2">
      <c r="B13" s="1" t="s">
        <v>24</v>
      </c>
      <c r="C13" s="3"/>
      <c r="D13" s="3"/>
      <c r="E13" s="3"/>
      <c r="F13" s="3">
        <v>8.3109999999999999</v>
      </c>
      <c r="G13" s="3">
        <v>10.747999999999999</v>
      </c>
      <c r="H13" s="3">
        <v>11.804</v>
      </c>
      <c r="I13" s="3">
        <v>12.27</v>
      </c>
      <c r="J13" s="3">
        <v>13.404999999999999</v>
      </c>
      <c r="K13" s="3">
        <v>15.324</v>
      </c>
      <c r="L13" s="3">
        <v>18.654</v>
      </c>
      <c r="M13" s="3">
        <v>21.091999999999999</v>
      </c>
      <c r="N13" s="3"/>
      <c r="P13" s="3"/>
      <c r="Q13" s="3">
        <v>29.236999999999998</v>
      </c>
      <c r="R13" s="3">
        <v>48.226999999999997</v>
      </c>
      <c r="S13" s="3">
        <f>+S8*0.045</f>
        <v>73.624601699999985</v>
      </c>
      <c r="T13" s="3">
        <f t="shared" ref="T13:Y13" si="13">+T8*0.045</f>
        <v>97.266069020756674</v>
      </c>
      <c r="U13" s="3">
        <f t="shared" si="13"/>
        <v>123.85459165604117</v>
      </c>
      <c r="V13" s="3">
        <f t="shared" si="13"/>
        <v>157.76060298036842</v>
      </c>
      <c r="W13" s="3">
        <f t="shared" si="13"/>
        <v>201.00294721340313</v>
      </c>
      <c r="X13" s="3">
        <f t="shared" si="13"/>
        <v>256.15795371137125</v>
      </c>
      <c r="Y13" s="3">
        <f t="shared" si="13"/>
        <v>326.51343140176999</v>
      </c>
    </row>
    <row r="14" spans="2:25" x14ac:dyDescent="0.2">
      <c r="B14" s="1" t="s">
        <v>25</v>
      </c>
      <c r="C14" s="3"/>
      <c r="D14" s="3"/>
      <c r="E14" s="3"/>
      <c r="F14" s="3">
        <v>27.568000000000001</v>
      </c>
      <c r="G14" s="3">
        <v>30.513000000000002</v>
      </c>
      <c r="H14" s="3">
        <v>31.143999999999998</v>
      </c>
      <c r="I14" s="3">
        <v>35.906999999999996</v>
      </c>
      <c r="J14" s="3">
        <v>32.319000000000003</v>
      </c>
      <c r="K14" s="3">
        <v>34.567999999999998</v>
      </c>
      <c r="L14" s="3">
        <v>40.554000000000002</v>
      </c>
      <c r="M14" s="3">
        <v>44.616999999999997</v>
      </c>
      <c r="N14" s="3"/>
      <c r="P14" s="3"/>
      <c r="Q14" s="3">
        <v>98.191999999999993</v>
      </c>
      <c r="R14" s="3">
        <v>129.88300000000001</v>
      </c>
      <c r="S14" s="3">
        <f>+R14*1.055</f>
        <v>137.02656500000001</v>
      </c>
      <c r="T14" s="3">
        <f t="shared" ref="T14:Y14" si="14">+S14*1.055</f>
        <v>144.56302607500001</v>
      </c>
      <c r="U14" s="3">
        <f t="shared" si="14"/>
        <v>152.51399250912499</v>
      </c>
      <c r="V14" s="3">
        <f t="shared" si="14"/>
        <v>160.90226209712685</v>
      </c>
      <c r="W14" s="3">
        <f t="shared" si="14"/>
        <v>169.75188651246881</v>
      </c>
      <c r="X14" s="3">
        <f t="shared" si="14"/>
        <v>179.08824027065458</v>
      </c>
      <c r="Y14" s="3">
        <f t="shared" si="14"/>
        <v>188.93809348554058</v>
      </c>
    </row>
    <row r="15" spans="2:25" x14ac:dyDescent="0.2">
      <c r="B15" s="1" t="s">
        <v>26</v>
      </c>
      <c r="C15" s="3">
        <f t="shared" ref="C15:L15" si="15">+SUM(C11:C14)</f>
        <v>0</v>
      </c>
      <c r="D15" s="3">
        <f t="shared" si="15"/>
        <v>0</v>
      </c>
      <c r="E15" s="3">
        <f t="shared" si="15"/>
        <v>0</v>
      </c>
      <c r="F15" s="3">
        <f t="shared" si="15"/>
        <v>143.94200000000001</v>
      </c>
      <c r="G15" s="3">
        <f t="shared" si="15"/>
        <v>164.68800000000002</v>
      </c>
      <c r="H15" s="3">
        <f t="shared" si="15"/>
        <v>179.39400000000001</v>
      </c>
      <c r="I15" s="3">
        <f t="shared" si="15"/>
        <v>195.86200000000002</v>
      </c>
      <c r="J15" s="3">
        <f t="shared" si="15"/>
        <v>204.45799999999997</v>
      </c>
      <c r="K15" s="3">
        <f t="shared" si="15"/>
        <v>219.19200000000001</v>
      </c>
      <c r="L15" s="3">
        <f t="shared" si="15"/>
        <v>245.583</v>
      </c>
      <c r="M15" s="3">
        <f>+SUM(M11:M14)</f>
        <v>295.512</v>
      </c>
      <c r="N15" s="3">
        <f t="shared" ref="N15" si="16">+SUM(N11:N14)</f>
        <v>0</v>
      </c>
      <c r="P15" s="3">
        <f t="shared" ref="P15:Y15" si="17">+SUM(P11:P14)</f>
        <v>0</v>
      </c>
      <c r="Q15" s="3">
        <f t="shared" si="17"/>
        <v>477.41900000000004</v>
      </c>
      <c r="R15" s="3">
        <f t="shared" si="17"/>
        <v>744.40200000000004</v>
      </c>
      <c r="S15" s="3">
        <f t="shared" si="17"/>
        <v>1184.1320114</v>
      </c>
      <c r="T15" s="3">
        <f t="shared" si="17"/>
        <v>1484.6733103609808</v>
      </c>
      <c r="U15" s="3">
        <f t="shared" si="17"/>
        <v>1776.3853053327759</v>
      </c>
      <c r="V15" s="3">
        <f t="shared" si="17"/>
        <v>2141.6742772950861</v>
      </c>
      <c r="W15" s="3">
        <f t="shared" si="17"/>
        <v>2648.7882354777744</v>
      </c>
      <c r="X15" s="3">
        <f t="shared" si="17"/>
        <v>3196.0596950934714</v>
      </c>
      <c r="Y15" s="3">
        <f t="shared" si="17"/>
        <v>3998.2614598395244</v>
      </c>
    </row>
    <row r="16" spans="2:25" x14ac:dyDescent="0.2">
      <c r="B16" s="1" t="s">
        <v>27</v>
      </c>
      <c r="C16" s="3">
        <f t="shared" ref="C16:L16" si="18">+C10-C15</f>
        <v>0</v>
      </c>
      <c r="D16" s="3">
        <f t="shared" si="18"/>
        <v>0</v>
      </c>
      <c r="E16" s="3">
        <f t="shared" si="18"/>
        <v>0</v>
      </c>
      <c r="F16" s="3">
        <f t="shared" si="18"/>
        <v>-11.605000000000018</v>
      </c>
      <c r="G16" s="3">
        <f t="shared" si="18"/>
        <v>-11.263000000000005</v>
      </c>
      <c r="H16" s="3">
        <f t="shared" si="18"/>
        <v>-9.23599999999999</v>
      </c>
      <c r="I16" s="3">
        <f t="shared" si="18"/>
        <v>-8.5540000000000305</v>
      </c>
      <c r="J16" s="3">
        <f t="shared" si="18"/>
        <v>-0.39999999999997726</v>
      </c>
      <c r="K16" s="3">
        <f t="shared" si="18"/>
        <v>9.9030000000000484</v>
      </c>
      <c r="L16" s="3">
        <f t="shared" si="18"/>
        <v>11.030000000000058</v>
      </c>
      <c r="M16" s="3">
        <f>+M10-M15</f>
        <v>22.373999999999967</v>
      </c>
      <c r="N16" s="3">
        <f t="shared" ref="N16" si="19">+N10-N15</f>
        <v>0</v>
      </c>
      <c r="P16" s="3">
        <f t="shared" ref="P16:Y16" si="20">+P10-P15</f>
        <v>0</v>
      </c>
      <c r="Q16" s="3">
        <f t="shared" si="20"/>
        <v>-68.697000000000003</v>
      </c>
      <c r="R16" s="3">
        <f t="shared" si="20"/>
        <v>-29.452999999999975</v>
      </c>
      <c r="S16" s="3">
        <f t="shared" si="20"/>
        <v>157.47184179999977</v>
      </c>
      <c r="T16" s="3">
        <f t="shared" si="20"/>
        <v>287.73061401725204</v>
      </c>
      <c r="U16" s="3">
        <f t="shared" si="20"/>
        <v>480.52058706619641</v>
      </c>
      <c r="V16" s="3">
        <f t="shared" si="20"/>
        <v>733.07448812496114</v>
      </c>
      <c r="W16" s="3">
        <f t="shared" si="20"/>
        <v>1013.9321359664605</v>
      </c>
      <c r="X16" s="3">
        <f t="shared" si="20"/>
        <v>1471.7074614248495</v>
      </c>
      <c r="Y16" s="3">
        <f t="shared" si="20"/>
        <v>1951.5388457038403</v>
      </c>
    </row>
    <row r="17" spans="2:76" x14ac:dyDescent="0.2">
      <c r="B17" s="1" t="s">
        <v>28</v>
      </c>
      <c r="C17" s="3"/>
      <c r="D17" s="3"/>
      <c r="E17" s="3"/>
      <c r="F17" s="3">
        <v>0.57699999999999996</v>
      </c>
      <c r="G17" s="3">
        <v>1.5820000000000001</v>
      </c>
      <c r="H17" s="3">
        <v>2.0659999999999998</v>
      </c>
      <c r="I17" s="3">
        <v>1.6379999999999999</v>
      </c>
      <c r="J17" s="3">
        <v>2.5960000000000001</v>
      </c>
      <c r="K17" s="3">
        <v>2.5</v>
      </c>
      <c r="L17" s="3">
        <v>2.3940000000000001</v>
      </c>
      <c r="M17" s="3">
        <v>1.2190000000000001</v>
      </c>
      <c r="N17" s="3"/>
      <c r="P17" s="3"/>
      <c r="Q17" s="3">
        <v>2.988</v>
      </c>
      <c r="R17" s="3">
        <v>7.8819999999999997</v>
      </c>
      <c r="S17" s="3"/>
      <c r="T17" s="3"/>
      <c r="U17" s="3"/>
      <c r="V17" s="3"/>
      <c r="W17" s="3"/>
      <c r="X17" s="3"/>
      <c r="Y17" s="3"/>
    </row>
    <row r="18" spans="2:76" x14ac:dyDescent="0.2">
      <c r="B18" s="1" t="s">
        <v>29</v>
      </c>
      <c r="C18" s="3">
        <f t="shared" ref="C18:L18" si="21">+C16+C17</f>
        <v>0</v>
      </c>
      <c r="D18" s="3">
        <f t="shared" si="21"/>
        <v>0</v>
      </c>
      <c r="E18" s="3">
        <f t="shared" si="21"/>
        <v>0</v>
      </c>
      <c r="F18" s="3">
        <f t="shared" si="21"/>
        <v>-11.028000000000018</v>
      </c>
      <c r="G18" s="3">
        <f t="shared" si="21"/>
        <v>-9.6810000000000045</v>
      </c>
      <c r="H18" s="3">
        <f t="shared" si="21"/>
        <v>-7.1699999999999902</v>
      </c>
      <c r="I18" s="3">
        <f t="shared" si="21"/>
        <v>-6.9160000000000306</v>
      </c>
      <c r="J18" s="3">
        <f t="shared" si="21"/>
        <v>2.1960000000000228</v>
      </c>
      <c r="K18" s="3">
        <f t="shared" si="21"/>
        <v>12.403000000000048</v>
      </c>
      <c r="L18" s="3">
        <f t="shared" si="21"/>
        <v>13.424000000000058</v>
      </c>
      <c r="M18" s="3">
        <f>+M16+M17</f>
        <v>23.592999999999968</v>
      </c>
      <c r="N18" s="3">
        <f t="shared" ref="N18" si="22">+N16+N17</f>
        <v>0</v>
      </c>
      <c r="P18" s="3">
        <f t="shared" ref="P18:Y18" si="23">+P16+P17</f>
        <v>0</v>
      </c>
      <c r="Q18" s="3">
        <f t="shared" si="23"/>
        <v>-65.709000000000003</v>
      </c>
      <c r="R18" s="3">
        <f t="shared" si="23"/>
        <v>-21.570999999999977</v>
      </c>
      <c r="S18" s="3">
        <f t="shared" si="23"/>
        <v>157.47184179999977</v>
      </c>
      <c r="T18" s="3">
        <f t="shared" si="23"/>
        <v>287.73061401725204</v>
      </c>
      <c r="U18" s="3">
        <f t="shared" si="23"/>
        <v>480.52058706619641</v>
      </c>
      <c r="V18" s="3">
        <f t="shared" si="23"/>
        <v>733.07448812496114</v>
      </c>
      <c r="W18" s="3">
        <f t="shared" si="23"/>
        <v>1013.9321359664605</v>
      </c>
      <c r="X18" s="3">
        <f t="shared" si="23"/>
        <v>1471.7074614248495</v>
      </c>
      <c r="Y18" s="3">
        <f t="shared" si="23"/>
        <v>1951.5388457038403</v>
      </c>
    </row>
    <row r="19" spans="2:76" x14ac:dyDescent="0.2">
      <c r="B19" s="1" t="s">
        <v>30</v>
      </c>
      <c r="C19" s="3"/>
      <c r="D19" s="3"/>
      <c r="E19" s="3"/>
      <c r="F19" s="3">
        <v>-0.121</v>
      </c>
      <c r="G19" s="3">
        <v>0.38600000000000001</v>
      </c>
      <c r="H19" s="3">
        <v>-1.2999999999999999E-2</v>
      </c>
      <c r="I19" s="3">
        <v>0.65100000000000002</v>
      </c>
      <c r="J19" s="3">
        <v>0.95099999999999996</v>
      </c>
      <c r="K19" s="3">
        <v>1.2749999999999999</v>
      </c>
      <c r="L19" s="3">
        <v>0.127</v>
      </c>
      <c r="M19" s="3">
        <v>-51.994999999999997</v>
      </c>
      <c r="N19" s="3"/>
      <c r="P19" s="3"/>
      <c r="Q19" s="3">
        <v>-3.1E-2</v>
      </c>
      <c r="R19" s="3">
        <v>1.9750000000000001</v>
      </c>
      <c r="S19" s="3">
        <f>+S18*0.2</f>
        <v>31.494368359999953</v>
      </c>
      <c r="T19" s="3">
        <f t="shared" ref="T19:Y19" si="24">+T18*0.2</f>
        <v>57.546122803450409</v>
      </c>
      <c r="U19" s="3">
        <f t="shared" si="24"/>
        <v>96.104117413239294</v>
      </c>
      <c r="V19" s="3">
        <f t="shared" si="24"/>
        <v>146.61489762499224</v>
      </c>
      <c r="W19" s="3">
        <f t="shared" si="24"/>
        <v>202.7864271932921</v>
      </c>
      <c r="X19" s="3">
        <f t="shared" si="24"/>
        <v>294.34149228496989</v>
      </c>
      <c r="Y19" s="3">
        <f t="shared" si="24"/>
        <v>390.30776914076807</v>
      </c>
    </row>
    <row r="20" spans="2:76" x14ac:dyDescent="0.2">
      <c r="B20" s="4" t="s">
        <v>31</v>
      </c>
      <c r="C20" s="5">
        <f t="shared" ref="C20:L20" si="25">+C18-C19</f>
        <v>0</v>
      </c>
      <c r="D20" s="5">
        <f t="shared" si="25"/>
        <v>0</v>
      </c>
      <c r="E20" s="5">
        <f t="shared" si="25"/>
        <v>0</v>
      </c>
      <c r="F20" s="5">
        <f t="shared" si="25"/>
        <v>-10.907000000000018</v>
      </c>
      <c r="G20" s="5">
        <f t="shared" si="25"/>
        <v>-10.067000000000004</v>
      </c>
      <c r="H20" s="5">
        <f t="shared" si="25"/>
        <v>-7.1569999999999903</v>
      </c>
      <c r="I20" s="5">
        <f t="shared" si="25"/>
        <v>-7.5670000000000304</v>
      </c>
      <c r="J20" s="5">
        <f t="shared" si="25"/>
        <v>1.2450000000000228</v>
      </c>
      <c r="K20" s="5">
        <f t="shared" si="25"/>
        <v>11.128000000000048</v>
      </c>
      <c r="L20" s="5">
        <f t="shared" si="25"/>
        <v>13.297000000000057</v>
      </c>
      <c r="M20" s="5">
        <f>+M18-M19</f>
        <v>75.587999999999965</v>
      </c>
      <c r="N20" s="5">
        <f t="shared" ref="N20" si="26">+N18-N19</f>
        <v>0</v>
      </c>
      <c r="P20" s="5">
        <f t="shared" ref="P20:Y20" si="27">+P18-P19</f>
        <v>0</v>
      </c>
      <c r="Q20" s="5">
        <f t="shared" si="27"/>
        <v>-65.677999999999997</v>
      </c>
      <c r="R20" s="5">
        <f t="shared" si="27"/>
        <v>-23.545999999999978</v>
      </c>
      <c r="S20" s="5">
        <f t="shared" si="27"/>
        <v>125.97747343999981</v>
      </c>
      <c r="T20" s="5">
        <f t="shared" si="27"/>
        <v>230.18449121380164</v>
      </c>
      <c r="U20" s="5">
        <f t="shared" si="27"/>
        <v>384.41646965295712</v>
      </c>
      <c r="V20" s="5">
        <f t="shared" si="27"/>
        <v>586.45959049996895</v>
      </c>
      <c r="W20" s="5">
        <f t="shared" si="27"/>
        <v>811.14570877316839</v>
      </c>
      <c r="X20" s="5">
        <f t="shared" si="27"/>
        <v>1177.3659691398796</v>
      </c>
      <c r="Y20" s="5">
        <f t="shared" si="27"/>
        <v>1561.2310765630723</v>
      </c>
      <c r="Z20" s="5">
        <f>+Y20*(1+$AB$23)</f>
        <v>1561.2310765630723</v>
      </c>
      <c r="AA20" s="5">
        <f t="shared" ref="AA20:BX20" si="28">+Z20*(1+$AB$23)</f>
        <v>1561.2310765630723</v>
      </c>
      <c r="AB20" s="5">
        <f t="shared" si="28"/>
        <v>1561.2310765630723</v>
      </c>
      <c r="AC20" s="5">
        <f t="shared" si="28"/>
        <v>1561.2310765630723</v>
      </c>
      <c r="AD20" s="5">
        <f t="shared" si="28"/>
        <v>1561.2310765630723</v>
      </c>
      <c r="AE20" s="5">
        <f t="shared" si="28"/>
        <v>1561.2310765630723</v>
      </c>
      <c r="AF20" s="5">
        <f t="shared" si="28"/>
        <v>1561.2310765630723</v>
      </c>
      <c r="AG20" s="5">
        <f t="shared" si="28"/>
        <v>1561.2310765630723</v>
      </c>
      <c r="AH20" s="5">
        <f t="shared" si="28"/>
        <v>1561.2310765630723</v>
      </c>
      <c r="AI20" s="5">
        <f t="shared" si="28"/>
        <v>1561.2310765630723</v>
      </c>
      <c r="AJ20" s="5">
        <f t="shared" si="28"/>
        <v>1561.2310765630723</v>
      </c>
      <c r="AK20" s="5">
        <f t="shared" si="28"/>
        <v>1561.2310765630723</v>
      </c>
      <c r="AL20" s="5">
        <f t="shared" si="28"/>
        <v>1561.2310765630723</v>
      </c>
      <c r="AM20" s="5">
        <f t="shared" si="28"/>
        <v>1561.2310765630723</v>
      </c>
      <c r="AN20" s="5">
        <f t="shared" si="28"/>
        <v>1561.2310765630723</v>
      </c>
      <c r="AO20" s="5">
        <f t="shared" si="28"/>
        <v>1561.2310765630723</v>
      </c>
      <c r="AP20" s="5">
        <f t="shared" si="28"/>
        <v>1561.2310765630723</v>
      </c>
      <c r="AQ20" s="5">
        <f t="shared" si="28"/>
        <v>1561.2310765630723</v>
      </c>
      <c r="AR20" s="5">
        <f t="shared" si="28"/>
        <v>1561.2310765630723</v>
      </c>
      <c r="AS20" s="5">
        <f t="shared" si="28"/>
        <v>1561.2310765630723</v>
      </c>
      <c r="AT20" s="5">
        <f t="shared" si="28"/>
        <v>1561.2310765630723</v>
      </c>
      <c r="AU20" s="5">
        <f t="shared" si="28"/>
        <v>1561.2310765630723</v>
      </c>
      <c r="AV20" s="5">
        <f t="shared" si="28"/>
        <v>1561.2310765630723</v>
      </c>
      <c r="AW20" s="5">
        <f t="shared" si="28"/>
        <v>1561.2310765630723</v>
      </c>
      <c r="AX20" s="5">
        <f t="shared" si="28"/>
        <v>1561.2310765630723</v>
      </c>
      <c r="AY20" s="5">
        <f t="shared" si="28"/>
        <v>1561.2310765630723</v>
      </c>
      <c r="AZ20" s="5">
        <f t="shared" si="28"/>
        <v>1561.2310765630723</v>
      </c>
      <c r="BA20" s="5">
        <f t="shared" si="28"/>
        <v>1561.2310765630723</v>
      </c>
      <c r="BB20" s="5">
        <f t="shared" si="28"/>
        <v>1561.2310765630723</v>
      </c>
      <c r="BC20" s="5">
        <f t="shared" si="28"/>
        <v>1561.2310765630723</v>
      </c>
      <c r="BD20" s="5">
        <f t="shared" si="28"/>
        <v>1561.2310765630723</v>
      </c>
      <c r="BE20" s="5">
        <f t="shared" si="28"/>
        <v>1561.2310765630723</v>
      </c>
      <c r="BF20" s="5">
        <f t="shared" si="28"/>
        <v>1561.2310765630723</v>
      </c>
      <c r="BG20" s="5">
        <f t="shared" si="28"/>
        <v>1561.2310765630723</v>
      </c>
      <c r="BH20" s="5">
        <f t="shared" si="28"/>
        <v>1561.2310765630723</v>
      </c>
      <c r="BI20" s="5">
        <f t="shared" si="28"/>
        <v>1561.2310765630723</v>
      </c>
      <c r="BJ20" s="5">
        <f t="shared" si="28"/>
        <v>1561.2310765630723</v>
      </c>
      <c r="BK20" s="5">
        <f t="shared" si="28"/>
        <v>1561.2310765630723</v>
      </c>
      <c r="BL20" s="5">
        <f t="shared" si="28"/>
        <v>1561.2310765630723</v>
      </c>
      <c r="BM20" s="5">
        <f t="shared" si="28"/>
        <v>1561.2310765630723</v>
      </c>
      <c r="BN20" s="5">
        <f t="shared" si="28"/>
        <v>1561.2310765630723</v>
      </c>
      <c r="BO20" s="5">
        <f t="shared" si="28"/>
        <v>1561.2310765630723</v>
      </c>
      <c r="BP20" s="5">
        <f t="shared" si="28"/>
        <v>1561.2310765630723</v>
      </c>
      <c r="BQ20" s="5">
        <f t="shared" si="28"/>
        <v>1561.2310765630723</v>
      </c>
      <c r="BR20" s="5">
        <f t="shared" si="28"/>
        <v>1561.2310765630723</v>
      </c>
      <c r="BS20" s="5">
        <f t="shared" si="28"/>
        <v>1561.2310765630723</v>
      </c>
      <c r="BT20" s="5">
        <f t="shared" si="28"/>
        <v>1561.2310765630723</v>
      </c>
      <c r="BU20" s="5">
        <f t="shared" si="28"/>
        <v>1561.2310765630723</v>
      </c>
      <c r="BV20" s="5">
        <f t="shared" si="28"/>
        <v>1561.2310765630723</v>
      </c>
      <c r="BW20" s="5">
        <f t="shared" si="28"/>
        <v>1561.2310765630723</v>
      </c>
      <c r="BX20" s="5">
        <f t="shared" si="28"/>
        <v>1561.2310765630723</v>
      </c>
    </row>
    <row r="21" spans="2:76" x14ac:dyDescent="0.2">
      <c r="B21" s="1" t="s">
        <v>2</v>
      </c>
      <c r="F21" s="7">
        <v>206.14028300000001</v>
      </c>
      <c r="G21" s="7">
        <v>207.140298</v>
      </c>
      <c r="H21" s="7">
        <v>208.42282499999999</v>
      </c>
      <c r="I21" s="7">
        <v>210.134681</v>
      </c>
      <c r="J21" s="7">
        <v>221.85085599999999</v>
      </c>
      <c r="K21" s="7">
        <v>229.36458500000001</v>
      </c>
      <c r="L21" s="7">
        <v>234.79198500000001</v>
      </c>
      <c r="M21" s="7">
        <v>235.06953899999999</v>
      </c>
      <c r="N21" s="7"/>
      <c r="P21" s="7"/>
      <c r="Q21" s="7">
        <v>204.51612</v>
      </c>
      <c r="R21" s="7">
        <v>209.34471199999999</v>
      </c>
      <c r="S21" s="7"/>
      <c r="T21" s="7"/>
      <c r="U21" s="7"/>
      <c r="V21" s="7"/>
      <c r="W21" s="7"/>
      <c r="X21" s="7"/>
      <c r="Y21" s="7"/>
    </row>
    <row r="22" spans="2:76" x14ac:dyDescent="0.2">
      <c r="B22" s="1" t="s">
        <v>32</v>
      </c>
      <c r="C22" s="11" t="e">
        <f t="shared" ref="C22:L22" si="29">+C20/C21</f>
        <v>#DIV/0!</v>
      </c>
      <c r="D22" s="11" t="e">
        <f t="shared" si="29"/>
        <v>#DIV/0!</v>
      </c>
      <c r="E22" s="11" t="e">
        <f t="shared" si="29"/>
        <v>#DIV/0!</v>
      </c>
      <c r="F22" s="11">
        <f t="shared" si="29"/>
        <v>-5.2910570613702017E-2</v>
      </c>
      <c r="G22" s="11">
        <f t="shared" si="29"/>
        <v>-4.8599910771587304E-2</v>
      </c>
      <c r="H22" s="11">
        <f t="shared" si="29"/>
        <v>-3.4338849403850034E-2</v>
      </c>
      <c r="I22" s="11">
        <f t="shared" si="29"/>
        <v>-3.601023859550357E-2</v>
      </c>
      <c r="J22" s="11">
        <f t="shared" si="29"/>
        <v>5.6118782791625688E-3</v>
      </c>
      <c r="K22" s="11">
        <f t="shared" si="29"/>
        <v>4.8516644363383508E-2</v>
      </c>
      <c r="L22" s="11">
        <f t="shared" si="29"/>
        <v>5.6633108664250427E-2</v>
      </c>
      <c r="M22" s="11">
        <f>+M20/M21</f>
        <v>0.32155591201461442</v>
      </c>
      <c r="N22" s="11" t="e">
        <f t="shared" ref="N22" si="30">+N20/N21</f>
        <v>#DIV/0!</v>
      </c>
      <c r="P22" s="11" t="e">
        <f t="shared" ref="P22:Y22" si="31">+P20/P21</f>
        <v>#DIV/0!</v>
      </c>
      <c r="Q22" s="11">
        <f t="shared" si="31"/>
        <v>-0.32113849998718924</v>
      </c>
      <c r="R22" s="11">
        <f t="shared" si="31"/>
        <v>-0.11247477796334296</v>
      </c>
      <c r="S22" s="11" t="e">
        <f t="shared" si="31"/>
        <v>#DIV/0!</v>
      </c>
      <c r="T22" s="11" t="e">
        <f t="shared" si="31"/>
        <v>#DIV/0!</v>
      </c>
      <c r="U22" s="11" t="e">
        <f t="shared" si="31"/>
        <v>#DIV/0!</v>
      </c>
      <c r="V22" s="11" t="e">
        <f t="shared" si="31"/>
        <v>#DIV/0!</v>
      </c>
      <c r="W22" s="11" t="e">
        <f t="shared" si="31"/>
        <v>#DIV/0!</v>
      </c>
      <c r="X22" s="11" t="e">
        <f t="shared" si="31"/>
        <v>#DIV/0!</v>
      </c>
      <c r="Y22" s="11" t="e">
        <f t="shared" si="31"/>
        <v>#DIV/0!</v>
      </c>
      <c r="AA22" s="1" t="s">
        <v>51</v>
      </c>
      <c r="AB22" s="6">
        <v>0.1</v>
      </c>
    </row>
    <row r="23" spans="2:76" x14ac:dyDescent="0.2">
      <c r="AA23" s="1" t="s">
        <v>52</v>
      </c>
      <c r="AB23" s="6">
        <v>0</v>
      </c>
    </row>
    <row r="24" spans="2:76" x14ac:dyDescent="0.2">
      <c r="B24" s="1" t="s">
        <v>33</v>
      </c>
      <c r="C24" s="10"/>
      <c r="D24" s="10"/>
      <c r="E24" s="10"/>
      <c r="F24" s="10"/>
      <c r="G24" s="10">
        <f t="shared" ref="G24:H24" si="32">+G3/F3-1</f>
        <v>0.16250000000000009</v>
      </c>
      <c r="H24" s="10">
        <f t="shared" si="32"/>
        <v>7.5268817204301008E-2</v>
      </c>
      <c r="I24" s="10">
        <f t="shared" ref="H24:M24" si="33">+I3/H3-1</f>
        <v>9.692307692307689E-2</v>
      </c>
      <c r="J24" s="10">
        <f t="shared" ref="J24:M24" si="34">+J3/I3-1</f>
        <v>7.7840112201963629E-2</v>
      </c>
      <c r="K24" s="10">
        <f t="shared" si="34"/>
        <v>0.11190631099544568</v>
      </c>
      <c r="L24" s="10">
        <f t="shared" si="34"/>
        <v>9.0696313633704007E-2</v>
      </c>
      <c r="M24" s="10">
        <f>+M3/L3-1</f>
        <v>9.817596566523612E-2</v>
      </c>
      <c r="R24" s="6">
        <f>+R3/Q3-1</f>
        <v>0.47788461538461524</v>
      </c>
      <c r="S24" s="6">
        <f t="shared" ref="S24:Y24" si="35">+S3/R3-1</f>
        <v>0.39999999999999991</v>
      </c>
      <c r="T24" s="6">
        <f t="shared" si="35"/>
        <v>0.26247696000000031</v>
      </c>
      <c r="U24" s="6">
        <f t="shared" si="35"/>
        <v>0.21550625000000001</v>
      </c>
      <c r="V24" s="6">
        <f t="shared" si="35"/>
        <v>0.21550624999999979</v>
      </c>
      <c r="W24" s="6">
        <f t="shared" si="35"/>
        <v>0.21550625000000001</v>
      </c>
      <c r="X24" s="6">
        <f t="shared" si="35"/>
        <v>0.21550625000000001</v>
      </c>
      <c r="Y24" s="6">
        <f t="shared" si="35"/>
        <v>0.21550625000000001</v>
      </c>
      <c r="AA24" s="1" t="s">
        <v>53</v>
      </c>
      <c r="AB24" s="14">
        <f>+NPV(AB22,S20:BX20)</f>
        <v>10913.087336343806</v>
      </c>
    </row>
    <row r="26" spans="2:76" x14ac:dyDescent="0.2">
      <c r="B26" s="4" t="s">
        <v>34</v>
      </c>
      <c r="C26" s="4"/>
      <c r="D26" s="4"/>
      <c r="E26" s="4"/>
      <c r="F26" s="4"/>
      <c r="G26" s="4"/>
      <c r="H26" s="4"/>
      <c r="I26" s="4"/>
      <c r="J26" s="12">
        <f t="shared" ref="J26" si="36">+J8/F8-1</f>
        <v>0.47496755440990879</v>
      </c>
      <c r="K26" s="12">
        <f t="shared" ref="K26" si="37">+K8/G8-1</f>
        <v>0.45814855585259751</v>
      </c>
      <c r="L26" s="12">
        <f t="shared" ref="L26" si="38">+L8/H8-1</f>
        <v>0.51818076878679453</v>
      </c>
      <c r="M26" s="12">
        <f>+M8/I8-1</f>
        <v>0.77131791494448598</v>
      </c>
      <c r="R26" s="10">
        <f>+R8/Q8-1</f>
        <v>0.65491273751413881</v>
      </c>
      <c r="S26" s="10">
        <f t="shared" ref="S26:Y26" si="39">+S8/R8-1</f>
        <v>0.87626405963302711</v>
      </c>
      <c r="T26" s="10">
        <f t="shared" si="39"/>
        <v>0.32110825423666367</v>
      </c>
      <c r="U26" s="10">
        <f t="shared" si="39"/>
        <v>0.27335866353980509</v>
      </c>
      <c r="V26" s="10">
        <f t="shared" si="39"/>
        <v>0.27375659530240326</v>
      </c>
      <c r="W26" s="10">
        <f t="shared" si="39"/>
        <v>0.27410103293289079</v>
      </c>
      <c r="X26" s="10">
        <f t="shared" si="39"/>
        <v>0.2743989939580862</v>
      </c>
      <c r="Y26" s="10">
        <f t="shared" si="39"/>
        <v>0.27465661975763811</v>
      </c>
    </row>
    <row r="28" spans="2:76" x14ac:dyDescent="0.2">
      <c r="B28" s="1" t="s">
        <v>35</v>
      </c>
      <c r="D28" s="6"/>
      <c r="E28" s="6"/>
      <c r="F28" s="6">
        <f t="shared" ref="F28:G28" si="40">+F10/F8</f>
        <v>0.79147503334270308</v>
      </c>
      <c r="G28" s="6">
        <f>+G10/G8</f>
        <v>0.80424070870681974</v>
      </c>
      <c r="H28" s="6">
        <f>+H10/H8</f>
        <v>0.81841355958290052</v>
      </c>
      <c r="I28" s="6">
        <f>+I10/I8</f>
        <v>0.82624096268620506</v>
      </c>
      <c r="J28" s="6">
        <f t="shared" ref="J28" si="41">+J10/J8</f>
        <v>0.82742205588377216</v>
      </c>
      <c r="K28" s="6">
        <f t="shared" ref="K28:L28" si="42">+K10/K8</f>
        <v>0.82357614560827697</v>
      </c>
      <c r="L28" s="6">
        <f>+L10/L8</f>
        <v>0.8129720448094081</v>
      </c>
      <c r="M28" s="6">
        <f>+M10/M8</f>
        <v>0.7916355377581209</v>
      </c>
      <c r="P28" s="6" t="e">
        <f t="shared" ref="P28:S28" si="43">+P10/P8</f>
        <v>#DIV/0!</v>
      </c>
      <c r="Q28" s="6">
        <f t="shared" si="43"/>
        <v>0.77568720630992416</v>
      </c>
      <c r="R28" s="6">
        <f t="shared" si="43"/>
        <v>0.81989564220183497</v>
      </c>
      <c r="S28" s="6">
        <f t="shared" si="43"/>
        <v>0.82000000000000006</v>
      </c>
      <c r="T28" s="6">
        <f t="shared" ref="T28:Y28" si="44">+T10/T8</f>
        <v>0.82000000000000006</v>
      </c>
      <c r="U28" s="6">
        <f t="shared" si="44"/>
        <v>0.82</v>
      </c>
      <c r="V28" s="6">
        <f t="shared" si="44"/>
        <v>0.82000000000000006</v>
      </c>
      <c r="W28" s="6">
        <f t="shared" si="44"/>
        <v>0.82000000000000006</v>
      </c>
      <c r="X28" s="6">
        <f t="shared" si="44"/>
        <v>0.82000000000000006</v>
      </c>
      <c r="Y28" s="6">
        <f t="shared" si="44"/>
        <v>0.82</v>
      </c>
    </row>
    <row r="29" spans="2:76" x14ac:dyDescent="0.2">
      <c r="B29" s="1" t="s">
        <v>36</v>
      </c>
      <c r="D29" s="6"/>
      <c r="E29" s="6"/>
      <c r="F29" s="6">
        <f t="shared" ref="F29:G29" si="45">+F16/F8</f>
        <v>-6.9406649402223755E-2</v>
      </c>
      <c r="G29" s="6">
        <f>+G16/G8</f>
        <v>-5.9039681291607721E-2</v>
      </c>
      <c r="H29" s="6">
        <f>+H16/H8</f>
        <v>-4.4422640347839423E-2</v>
      </c>
      <c r="I29" s="6">
        <f>+I16/I8</f>
        <v>-3.77328528136429E-2</v>
      </c>
      <c r="J29" s="6">
        <f t="shared" ref="J29" si="46">+J16/J8</f>
        <v>-1.6219350496108462E-3</v>
      </c>
      <c r="K29" s="6">
        <f t="shared" ref="K29:L29" si="47">+K16/K8</f>
        <v>3.5600404068001502E-2</v>
      </c>
      <c r="L29" s="6">
        <f>+L16/L8</f>
        <v>3.494398824006506E-2</v>
      </c>
      <c r="M29" s="6">
        <f>+M16/M8</f>
        <v>5.5718255984221296E-2</v>
      </c>
      <c r="P29" s="6" t="e">
        <f t="shared" ref="P29:S29" si="48">+P16/P8</f>
        <v>#DIV/0!</v>
      </c>
      <c r="Q29" s="6">
        <f t="shared" si="48"/>
        <v>-0.1303756196433587</v>
      </c>
      <c r="R29" s="6">
        <f t="shared" si="48"/>
        <v>-3.377637614678896E-2</v>
      </c>
      <c r="S29" s="6">
        <f t="shared" si="48"/>
        <v>9.6248165930655091E-2</v>
      </c>
      <c r="T29" s="6">
        <f t="shared" ref="T29:Y29" si="49">+T16/T8</f>
        <v>0.13311813421814395</v>
      </c>
      <c r="U29" s="6">
        <f t="shared" si="49"/>
        <v>0.17458720043282405</v>
      </c>
      <c r="V29" s="6">
        <f t="shared" si="49"/>
        <v>0.20910386587282687</v>
      </c>
      <c r="W29" s="6">
        <f t="shared" si="49"/>
        <v>0.22699640354053605</v>
      </c>
      <c r="X29" s="6">
        <f t="shared" si="49"/>
        <v>0.25853905687714868</v>
      </c>
      <c r="Y29" s="6">
        <f t="shared" si="49"/>
        <v>0.26896059889374813</v>
      </c>
    </row>
    <row r="30" spans="2:76" x14ac:dyDescent="0.2">
      <c r="B30" s="1" t="s">
        <v>37</v>
      </c>
      <c r="D30" s="6"/>
      <c r="E30" s="6"/>
      <c r="F30" s="6">
        <f t="shared" ref="F30:G30" si="50">+F20/F8</f>
        <v>-6.5232083156402804E-2</v>
      </c>
      <c r="G30" s="6">
        <f>+G20/G8</f>
        <v>-5.277035173245271E-2</v>
      </c>
      <c r="H30" s="6">
        <f>+H20/H8</f>
        <v>-3.4423217515102494E-2</v>
      </c>
      <c r="I30" s="6">
        <f>+I20/I8</f>
        <v>-3.3379062104376425E-2</v>
      </c>
      <c r="J30" s="6">
        <f t="shared" ref="J30" si="51">+J20/J8</f>
        <v>5.0482728419141377E-3</v>
      </c>
      <c r="K30" s="6">
        <f t="shared" ref="K30:L30" si="52">+K20/K8</f>
        <v>4.000417009681112E-2</v>
      </c>
      <c r="L30" s="6">
        <f>+L20/L8</f>
        <v>4.2126039132198069E-2</v>
      </c>
      <c r="M30" s="6">
        <f>+M20/M8</f>
        <v>0.18823775513253435</v>
      </c>
      <c r="P30" s="6" t="e">
        <f t="shared" ref="P30:S30" si="53">+P20/P8</f>
        <v>#DIV/0!</v>
      </c>
      <c r="Q30" s="6">
        <f t="shared" si="53"/>
        <v>-0.12464605364042844</v>
      </c>
      <c r="R30" s="6">
        <f t="shared" si="53"/>
        <v>-2.7002293577981624E-2</v>
      </c>
      <c r="S30" s="6">
        <f t="shared" si="53"/>
        <v>7.6998532744524076E-2</v>
      </c>
      <c r="T30" s="6">
        <f t="shared" ref="T30:Y30" si="54">+T20/T8</f>
        <v>0.10649450737451517</v>
      </c>
      <c r="U30" s="6">
        <f t="shared" si="54"/>
        <v>0.13966976034625925</v>
      </c>
      <c r="V30" s="6">
        <f t="shared" si="54"/>
        <v>0.1672830926982615</v>
      </c>
      <c r="W30" s="6">
        <f t="shared" si="54"/>
        <v>0.18159712283242885</v>
      </c>
      <c r="X30" s="6">
        <f t="shared" si="54"/>
        <v>0.20683124550171891</v>
      </c>
      <c r="Y30" s="6">
        <f t="shared" si="54"/>
        <v>0.21516847911499851</v>
      </c>
    </row>
    <row r="32" spans="2:76" x14ac:dyDescent="0.2">
      <c r="B32" s="1" t="s">
        <v>47</v>
      </c>
      <c r="F32" s="6">
        <f t="shared" ref="F32:M32" si="55">+F11/F$8</f>
        <v>0.51160565300861827</v>
      </c>
      <c r="G32" s="6">
        <f t="shared" si="55"/>
        <v>0.50974996068564238</v>
      </c>
      <c r="H32" s="6">
        <f t="shared" si="55"/>
        <v>0.51569413982838885</v>
      </c>
      <c r="I32" s="6">
        <f t="shared" si="55"/>
        <v>0.512026960859995</v>
      </c>
      <c r="J32" s="6">
        <f t="shared" si="55"/>
        <v>0.51048378267692274</v>
      </c>
      <c r="K32" s="6">
        <f t="shared" si="55"/>
        <v>0.46932642151769943</v>
      </c>
      <c r="L32" s="6">
        <f t="shared" si="55"/>
        <v>0.4591253548256285</v>
      </c>
      <c r="M32" s="6">
        <f t="shared" si="55"/>
        <v>0.45394415722838161</v>
      </c>
      <c r="Q32" s="6">
        <f t="shared" ref="Q32:R35" si="56">+Q11/Q$8</f>
        <v>0.5173253421797781</v>
      </c>
      <c r="R32" s="6">
        <f t="shared" ref="Q32:S32" si="57">+R11/R$8</f>
        <v>0.51196674311926604</v>
      </c>
      <c r="S32" s="6">
        <f>+S11/S$8</f>
        <v>0.45</v>
      </c>
      <c r="T32" s="6">
        <f t="shared" ref="T32:Y32" si="58">+T11/T$8</f>
        <v>0.435</v>
      </c>
      <c r="U32" s="6">
        <f t="shared" si="58"/>
        <v>0.41</v>
      </c>
      <c r="V32" s="6">
        <f t="shared" si="58"/>
        <v>0.4</v>
      </c>
      <c r="W32" s="6">
        <f t="shared" si="58"/>
        <v>0.39</v>
      </c>
      <c r="X32" s="6">
        <f t="shared" si="58"/>
        <v>0.37499999999999994</v>
      </c>
      <c r="Y32" s="6">
        <f t="shared" si="58"/>
        <v>0.37</v>
      </c>
    </row>
    <row r="33" spans="2:25" x14ac:dyDescent="0.2">
      <c r="B33" s="1" t="s">
        <v>48</v>
      </c>
      <c r="F33" s="6">
        <f t="shared" ref="F33:M33" si="59">+F12/F$8</f>
        <v>0.1346925593440309</v>
      </c>
      <c r="G33" s="6">
        <f t="shared" si="59"/>
        <v>0.13724380143628451</v>
      </c>
      <c r="H33" s="6">
        <f t="shared" si="59"/>
        <v>0.14057389664858208</v>
      </c>
      <c r="I33" s="6">
        <f t="shared" si="59"/>
        <v>0.13943158108328665</v>
      </c>
      <c r="J33" s="6">
        <f t="shared" si="59"/>
        <v>0.133156812735434</v>
      </c>
      <c r="K33" s="6">
        <f t="shared" si="59"/>
        <v>0.13929201821900913</v>
      </c>
      <c r="L33" s="6">
        <f t="shared" si="59"/>
        <v>0.13132666768045417</v>
      </c>
      <c r="M33" s="6">
        <f t="shared" si="59"/>
        <v>0.11833716841486618</v>
      </c>
      <c r="Q33" s="6">
        <f t="shared" ref="Q33:Y35" si="60">+Q12/Q$8</f>
        <v>0.14689817731858587</v>
      </c>
      <c r="R33" s="6">
        <f t="shared" si="60"/>
        <v>0.1374506880733945</v>
      </c>
      <c r="S33" s="6">
        <f t="shared" si="60"/>
        <v>0.14499999999999999</v>
      </c>
      <c r="T33" s="6">
        <f t="shared" si="60"/>
        <v>0.14000000000000001</v>
      </c>
      <c r="U33" s="6">
        <f t="shared" si="60"/>
        <v>0.13500000000000001</v>
      </c>
      <c r="V33" s="6">
        <f t="shared" si="60"/>
        <v>0.12000000000000001</v>
      </c>
      <c r="W33" s="6">
        <f t="shared" si="60"/>
        <v>0.12</v>
      </c>
      <c r="X33" s="6">
        <f t="shared" si="60"/>
        <v>0.11000000000000001</v>
      </c>
      <c r="Y33" s="6">
        <f t="shared" si="60"/>
        <v>0.11</v>
      </c>
    </row>
    <row r="34" spans="2:25" x14ac:dyDescent="0.2">
      <c r="B34" s="1" t="s">
        <v>49</v>
      </c>
      <c r="F34" s="6">
        <f t="shared" ref="F34:M34" si="61">+F13/F$8</f>
        <v>4.9706045944151719E-2</v>
      </c>
      <c r="G34" s="6">
        <f t="shared" si="61"/>
        <v>5.6340095402841114E-2</v>
      </c>
      <c r="H34" s="6">
        <f t="shared" si="61"/>
        <v>5.6774019777598217E-2</v>
      </c>
      <c r="I34" s="6">
        <f t="shared" si="61"/>
        <v>5.4124632221580156E-2</v>
      </c>
      <c r="J34" s="6">
        <f t="shared" si="61"/>
        <v>5.4355098350086568E-2</v>
      </c>
      <c r="K34" s="6">
        <f t="shared" si="61"/>
        <v>5.5088416837125356E-2</v>
      </c>
      <c r="L34" s="6">
        <f t="shared" si="61"/>
        <v>5.9097475669099751E-2</v>
      </c>
      <c r="M34" s="6">
        <f t="shared" si="61"/>
        <v>5.2525675123768538E-2</v>
      </c>
      <c r="Q34" s="6">
        <f t="shared" ref="Q34:Y35" si="62">+Q13/Q$8</f>
        <v>5.5487022599427602E-2</v>
      </c>
      <c r="R34" s="6">
        <f>+R13/R$8</f>
        <v>5.5306192660550452E-2</v>
      </c>
      <c r="S34" s="6">
        <f t="shared" si="62"/>
        <v>4.4999999999999998E-2</v>
      </c>
      <c r="T34" s="6">
        <f t="shared" si="62"/>
        <v>4.4999999999999998E-2</v>
      </c>
      <c r="U34" s="6">
        <f t="shared" si="62"/>
        <v>4.4999999999999998E-2</v>
      </c>
      <c r="V34" s="6">
        <f t="shared" si="62"/>
        <v>4.4999999999999998E-2</v>
      </c>
      <c r="W34" s="6">
        <f t="shared" si="62"/>
        <v>4.4999999999999998E-2</v>
      </c>
      <c r="X34" s="6">
        <f t="shared" si="62"/>
        <v>4.4999999999999998E-2</v>
      </c>
      <c r="Y34" s="6">
        <f t="shared" si="62"/>
        <v>4.4999999999999998E-2</v>
      </c>
    </row>
    <row r="35" spans="2:25" x14ac:dyDescent="0.2">
      <c r="B35" s="1" t="s">
        <v>50</v>
      </c>
      <c r="F35" s="6">
        <f t="shared" ref="F35:M35" si="63">+F14/F$8</f>
        <v>0.16487742444812595</v>
      </c>
      <c r="G35" s="6">
        <f t="shared" si="63"/>
        <v>0.15994653247365939</v>
      </c>
      <c r="H35" s="6">
        <f t="shared" si="63"/>
        <v>0.14979414367617067</v>
      </c>
      <c r="I35" s="6">
        <f t="shared" si="63"/>
        <v>0.15839064133498604</v>
      </c>
      <c r="J35" s="6">
        <f t="shared" si="63"/>
        <v>0.1310482971709398</v>
      </c>
      <c r="K35" s="6">
        <f t="shared" si="63"/>
        <v>0.12426888496644148</v>
      </c>
      <c r="L35" s="6">
        <f t="shared" si="63"/>
        <v>0.12847855839416059</v>
      </c>
      <c r="M35" s="6">
        <f t="shared" si="63"/>
        <v>0.11111028100688322</v>
      </c>
      <c r="Q35" s="6">
        <f t="shared" ref="Q35:Y35" si="64">+Q14/Q$8</f>
        <v>0.18635228385549116</v>
      </c>
      <c r="R35" s="6">
        <f t="shared" si="64"/>
        <v>0.14894839449541286</v>
      </c>
      <c r="S35" s="6">
        <f t="shared" si="64"/>
        <v>8.3751834069344805E-2</v>
      </c>
      <c r="T35" s="6">
        <f t="shared" si="64"/>
        <v>6.6881865781856106E-2</v>
      </c>
      <c r="U35" s="6">
        <f t="shared" si="64"/>
        <v>5.5412799567175888E-2</v>
      </c>
      <c r="V35" s="6">
        <f t="shared" si="64"/>
        <v>4.5896134127173194E-2</v>
      </c>
      <c r="W35" s="6">
        <f t="shared" si="64"/>
        <v>3.8003596459463905E-2</v>
      </c>
      <c r="X35" s="6">
        <f t="shared" si="64"/>
        <v>3.1460943122851415E-2</v>
      </c>
      <c r="Y35" s="6">
        <f t="shared" si="64"/>
        <v>2.6039401106251813E-2</v>
      </c>
    </row>
    <row r="37" spans="2:25" x14ac:dyDescent="0.2">
      <c r="B37" s="1" t="s">
        <v>38</v>
      </c>
      <c r="C37" s="3"/>
      <c r="D37" s="3"/>
      <c r="E37" s="3"/>
      <c r="F37" s="3">
        <f>-26.531-E37-D37-C37</f>
        <v>-26.530999999999999</v>
      </c>
      <c r="G37" s="3">
        <v>9.4830000000000005</v>
      </c>
      <c r="H37" s="3">
        <f>26.309-G37</f>
        <v>16.826000000000001</v>
      </c>
      <c r="I37" s="3">
        <f>51.5-H37-G37</f>
        <v>25.190999999999999</v>
      </c>
      <c r="J37" s="3">
        <f>73.483-I37-H37-G37</f>
        <v>21.983000000000001</v>
      </c>
      <c r="K37" s="3">
        <v>25.838000000000001</v>
      </c>
      <c r="L37" s="3">
        <f>79.432-K37</f>
        <v>53.594000000000001</v>
      </c>
      <c r="M37" s="3">
        <f>164.699-L37-K37</f>
        <v>85.267000000000024</v>
      </c>
      <c r="P37" s="3"/>
      <c r="Q37" s="3">
        <v>-26.530999999999999</v>
      </c>
      <c r="R37" s="3">
        <v>73.483000000000004</v>
      </c>
      <c r="S37" s="3"/>
      <c r="T37" s="3"/>
      <c r="U37" s="3"/>
      <c r="V37" s="3"/>
      <c r="W37" s="3"/>
      <c r="X37" s="3"/>
      <c r="Y37" s="3"/>
    </row>
    <row r="38" spans="2:25" x14ac:dyDescent="0.2">
      <c r="B38" s="1" t="s">
        <v>39</v>
      </c>
      <c r="C38" s="3"/>
      <c r="D38" s="3"/>
      <c r="E38" s="3"/>
      <c r="F38" s="3">
        <f>2.714-E38-D38-C38</f>
        <v>2.714</v>
      </c>
      <c r="G38" s="3">
        <v>0.63500000000000001</v>
      </c>
      <c r="H38" s="3">
        <f>5.312-G38</f>
        <v>4.6770000000000005</v>
      </c>
      <c r="I38" s="3">
        <f>8.589-H38-G38</f>
        <v>3.2770000000000001</v>
      </c>
      <c r="J38" s="3">
        <f>17.22-I38-H38-G38</f>
        <v>8.6309999999999985</v>
      </c>
      <c r="K38" s="3">
        <v>10.581</v>
      </c>
      <c r="L38" s="3">
        <f>13.793-K38</f>
        <v>3.2119999999999997</v>
      </c>
      <c r="M38" s="3">
        <f>17.135-L38-K38</f>
        <v>3.3420000000000023</v>
      </c>
      <c r="P38" s="3"/>
      <c r="Q38" s="3">
        <v>2.714</v>
      </c>
      <c r="R38" s="3">
        <v>17.22</v>
      </c>
      <c r="S38" s="3"/>
      <c r="T38" s="3"/>
      <c r="U38" s="3"/>
      <c r="V38" s="3"/>
      <c r="W38" s="3"/>
      <c r="X38" s="3"/>
      <c r="Y38" s="3"/>
    </row>
    <row r="39" spans="2:25" x14ac:dyDescent="0.2">
      <c r="B39" s="1" t="s">
        <v>40</v>
      </c>
      <c r="C39" s="3"/>
      <c r="D39" s="3"/>
      <c r="E39" s="3"/>
      <c r="F39" s="3">
        <f>42.817-E39-D39-C39</f>
        <v>42.817</v>
      </c>
      <c r="G39" s="3">
        <v>14.167</v>
      </c>
      <c r="H39" s="3">
        <f>31.012-G39</f>
        <v>16.844999999999999</v>
      </c>
      <c r="I39" s="3">
        <f>48.289-H39-G39</f>
        <v>17.277000000000001</v>
      </c>
      <c r="J39" s="3">
        <f>66.08-I39-H39-G39</f>
        <v>17.790999999999997</v>
      </c>
      <c r="K39" s="3">
        <v>19.032</v>
      </c>
      <c r="L39" s="3">
        <f>43.074-K39</f>
        <v>24.041999999999998</v>
      </c>
      <c r="M39" s="3">
        <f>67.973-L39-K39</f>
        <v>24.898999999999997</v>
      </c>
      <c r="P39" s="3"/>
      <c r="Q39" s="3">
        <v>42.817</v>
      </c>
      <c r="R39" s="3">
        <v>66.08</v>
      </c>
      <c r="S39" s="3"/>
      <c r="T39" s="3"/>
      <c r="U39" s="3"/>
      <c r="V39" s="3"/>
      <c r="W39" s="3"/>
      <c r="X39" s="3"/>
      <c r="Y39" s="3"/>
    </row>
    <row r="40" spans="2:25" x14ac:dyDescent="0.2">
      <c r="B40" s="4" t="s">
        <v>41</v>
      </c>
      <c r="C40" s="5">
        <f t="shared" ref="C40:L40" si="65">+C37-C38-C39</f>
        <v>0</v>
      </c>
      <c r="D40" s="5">
        <f t="shared" si="65"/>
        <v>0</v>
      </c>
      <c r="E40" s="5">
        <f t="shared" si="65"/>
        <v>0</v>
      </c>
      <c r="F40" s="5">
        <f t="shared" ref="F40:L40" si="66">+F37-F38</f>
        <v>-29.244999999999997</v>
      </c>
      <c r="G40" s="5">
        <f t="shared" si="66"/>
        <v>8.8480000000000008</v>
      </c>
      <c r="H40" s="5">
        <f t="shared" si="66"/>
        <v>12.149000000000001</v>
      </c>
      <c r="I40" s="5">
        <f t="shared" si="66"/>
        <v>21.913999999999998</v>
      </c>
      <c r="J40" s="5">
        <f t="shared" si="66"/>
        <v>13.352000000000002</v>
      </c>
      <c r="K40" s="5">
        <f t="shared" si="66"/>
        <v>15.257000000000001</v>
      </c>
      <c r="L40" s="5">
        <f>+L37-L38</f>
        <v>50.382000000000005</v>
      </c>
      <c r="M40" s="5">
        <f>+M37-M38</f>
        <v>81.925000000000026</v>
      </c>
      <c r="P40" s="5">
        <f t="shared" ref="P40:T40" si="67">+P37-P38</f>
        <v>0</v>
      </c>
      <c r="Q40" s="5">
        <f t="shared" si="67"/>
        <v>-29.244999999999997</v>
      </c>
      <c r="R40" s="5">
        <f t="shared" si="67"/>
        <v>56.263000000000005</v>
      </c>
      <c r="S40" s="5">
        <f t="shared" si="67"/>
        <v>0</v>
      </c>
      <c r="T40" s="5">
        <f t="shared" si="67"/>
        <v>0</v>
      </c>
      <c r="U40" s="3"/>
      <c r="V40" s="3"/>
      <c r="W40" s="3"/>
      <c r="X40" s="3"/>
      <c r="Y40" s="3"/>
    </row>
    <row r="42" spans="2:25" x14ac:dyDescent="0.2">
      <c r="B42" s="1" t="s">
        <v>44</v>
      </c>
      <c r="C42" s="9"/>
      <c r="D42" s="9"/>
      <c r="E42" s="9"/>
      <c r="F42" s="9">
        <v>55</v>
      </c>
      <c r="G42" s="9">
        <v>55</v>
      </c>
      <c r="H42" s="9">
        <v>53</v>
      </c>
      <c r="I42" s="9">
        <v>54</v>
      </c>
      <c r="J42" s="9">
        <v>53</v>
      </c>
      <c r="K42" s="9">
        <v>55</v>
      </c>
      <c r="L42" s="9">
        <v>57</v>
      </c>
      <c r="M42" s="9">
        <v>67</v>
      </c>
      <c r="P42" s="13"/>
      <c r="Q42" s="13">
        <v>53</v>
      </c>
      <c r="R42" s="13">
        <v>54</v>
      </c>
      <c r="S42" s="13">
        <f>+R42*1.15</f>
        <v>62.099999999999994</v>
      </c>
      <c r="T42" s="13">
        <f>+S42*1.05</f>
        <v>65.204999999999998</v>
      </c>
      <c r="U42" s="13">
        <f t="shared" ref="U42:Y42" si="68">+T42*1.05</f>
        <v>68.465249999999997</v>
      </c>
      <c r="V42" s="13">
        <f t="shared" si="68"/>
        <v>71.888512500000004</v>
      </c>
      <c r="W42" s="13">
        <f t="shared" si="68"/>
        <v>75.482938125000004</v>
      </c>
      <c r="X42" s="13">
        <f>+W42*1.05</f>
        <v>79.257085031250014</v>
      </c>
      <c r="Y42" s="13">
        <f t="shared" si="68"/>
        <v>83.219939282812518</v>
      </c>
    </row>
    <row r="43" spans="2:25" x14ac:dyDescent="0.2">
      <c r="J43" s="10">
        <f t="shared" ref="J43" si="69">+J42/F42-1</f>
        <v>-3.6363636363636376E-2</v>
      </c>
      <c r="K43" s="10">
        <f t="shared" ref="K43" si="70">+K42/G42-1</f>
        <v>0</v>
      </c>
      <c r="L43" s="10">
        <f t="shared" ref="L43" si="71">+L42/H42-1</f>
        <v>7.547169811320753E-2</v>
      </c>
      <c r="M43" s="10">
        <f>+M42/I42-1</f>
        <v>0.2407407407407407</v>
      </c>
    </row>
    <row r="44" spans="2:25" x14ac:dyDescent="0.2">
      <c r="B44" s="1" t="s">
        <v>45</v>
      </c>
      <c r="C44" s="3"/>
      <c r="D44" s="3"/>
      <c r="E44" s="3"/>
      <c r="F44" s="3">
        <v>1855</v>
      </c>
      <c r="G44" s="3">
        <v>2047</v>
      </c>
      <c r="H44" s="3">
        <v>2109</v>
      </c>
      <c r="I44" s="3">
        <v>2222</v>
      </c>
      <c r="J44" s="3">
        <v>2298</v>
      </c>
      <c r="K44" s="3">
        <v>2461</v>
      </c>
      <c r="L44" s="3">
        <v>2527</v>
      </c>
      <c r="M44" s="3">
        <v>2664</v>
      </c>
      <c r="P44" s="3"/>
      <c r="Q44" s="3">
        <v>6122</v>
      </c>
      <c r="R44" s="3">
        <v>8676</v>
      </c>
      <c r="S44" s="3">
        <f>+R44*1.2</f>
        <v>10411.199999999999</v>
      </c>
      <c r="T44" s="3">
        <f t="shared" ref="T44" si="72">+S44*1.2</f>
        <v>12493.439999999999</v>
      </c>
      <c r="U44" s="3">
        <f>+T44*1.18</f>
        <v>14742.259199999997</v>
      </c>
      <c r="V44" s="3">
        <f>+U44*1.1</f>
        <v>16216.485119999998</v>
      </c>
      <c r="W44" s="3">
        <f t="shared" ref="W44:Y44" si="73">+V44*1.1</f>
        <v>17838.133631999997</v>
      </c>
      <c r="X44" s="3">
        <f t="shared" si="73"/>
        <v>19621.9469952</v>
      </c>
      <c r="Y44" s="3">
        <f t="shared" si="73"/>
        <v>21584.141694720001</v>
      </c>
    </row>
    <row r="45" spans="2:25" x14ac:dyDescent="0.2">
      <c r="J45" s="10">
        <f t="shared" ref="J45" si="74">+J44/F44-1</f>
        <v>0.23881401617250675</v>
      </c>
      <c r="K45" s="10">
        <f>+K44/G44-1</f>
        <v>0.202247191011236</v>
      </c>
      <c r="L45" s="10">
        <f t="shared" ref="K43:L45" si="75">+L44/H44-1</f>
        <v>0.19819819819819817</v>
      </c>
      <c r="M45" s="10">
        <f>+M44/I44-1</f>
        <v>0.19891989198919902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2024-11-17T11:58:46Z</dcterms:created>
  <dcterms:modified xsi:type="dcterms:W3CDTF">2024-11-17T14:43:31Z</dcterms:modified>
</cp:coreProperties>
</file>