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https://phdisegutl-my.sharepoint.com/personal/l59357_aln_iseg_ulisboa_pt/Documents/Models/"/>
    </mc:Choice>
  </mc:AlternateContent>
  <xr:revisionPtr revIDLastSave="361" documentId="8_{7DB28CC7-84E9-444D-AACC-85129E9FD6CD}" xr6:coauthVersionLast="47" xr6:coauthVersionMax="47" xr10:uidLastSave="{D34BC090-41ED-43DC-9528-4B9D46200C2D}"/>
  <bookViews>
    <workbookView minimized="1" xWindow="2304" yWindow="2304" windowWidth="17280" windowHeight="8880" activeTab="1" xr2:uid="{15ABF60E-39E2-49D5-B218-74DC8DC830EE}"/>
  </bookViews>
  <sheets>
    <sheet name="main" sheetId="1" r:id="rId1"/>
    <sheet name="model"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R82" i="2" l="1"/>
  <c r="AC6" i="2"/>
  <c r="T22" i="2"/>
  <c r="U22" i="2"/>
  <c r="V22" i="2" s="1"/>
  <c r="W22" i="2" s="1"/>
  <c r="X22" i="2" s="1"/>
  <c r="Y22" i="2" s="1"/>
  <c r="Z22" i="2" s="1"/>
  <c r="U23" i="2"/>
  <c r="V23" i="2" s="1"/>
  <c r="W23" i="2" s="1"/>
  <c r="X23" i="2" s="1"/>
  <c r="Y23" i="2" s="1"/>
  <c r="Z23" i="2" s="1"/>
  <c r="T23" i="2"/>
  <c r="Z20" i="2"/>
  <c r="Y20" i="2"/>
  <c r="X20" i="2"/>
  <c r="W20" i="2"/>
  <c r="V20" i="2"/>
  <c r="U20" i="2"/>
  <c r="V21" i="2"/>
  <c r="W21" i="2"/>
  <c r="X21" i="2"/>
  <c r="Y21" i="2"/>
  <c r="Z21" i="2"/>
  <c r="S8" i="2"/>
  <c r="T8" i="2" s="1"/>
  <c r="S37" i="2"/>
  <c r="L3" i="1" a="1"/>
  <c r="L3" i="1" s="1"/>
  <c r="L5" i="1" s="1"/>
  <c r="L8" i="1" s="1"/>
  <c r="L11" i="1" s="1"/>
  <c r="U9" i="2"/>
  <c r="U38" i="2" s="1"/>
  <c r="V9" i="2"/>
  <c r="W9" i="2" s="1"/>
  <c r="X9" i="2" s="1"/>
  <c r="Y9" i="2" s="1"/>
  <c r="Z9" i="2" s="1"/>
  <c r="S25" i="2"/>
  <c r="T31" i="2"/>
  <c r="U31" i="2" s="1"/>
  <c r="V31" i="2" s="1"/>
  <c r="W31" i="2" s="1"/>
  <c r="X31" i="2" s="1"/>
  <c r="Y31" i="2" s="1"/>
  <c r="Z31" i="2" s="1"/>
  <c r="S31" i="2"/>
  <c r="T27" i="2"/>
  <c r="U27" i="2" s="1"/>
  <c r="V27" i="2" s="1"/>
  <c r="W27" i="2" s="1"/>
  <c r="X27" i="2" s="1"/>
  <c r="Y27" i="2" s="1"/>
  <c r="Z27" i="2" s="1"/>
  <c r="S27" i="2"/>
  <c r="T24" i="2"/>
  <c r="U24" i="2" s="1"/>
  <c r="V24" i="2" s="1"/>
  <c r="W24" i="2" s="1"/>
  <c r="X24" i="2" s="1"/>
  <c r="Y24" i="2" s="1"/>
  <c r="Z24" i="2" s="1"/>
  <c r="S24" i="2"/>
  <c r="Z19" i="2"/>
  <c r="Y19" i="2"/>
  <c r="X19" i="2"/>
  <c r="W19" i="2"/>
  <c r="V19" i="2"/>
  <c r="U19" i="2"/>
  <c r="T19" i="2"/>
  <c r="S19" i="2"/>
  <c r="Z44" i="2"/>
  <c r="Y44" i="2"/>
  <c r="X44" i="2"/>
  <c r="W44" i="2"/>
  <c r="V44" i="2"/>
  <c r="U44" i="2"/>
  <c r="T44" i="2"/>
  <c r="S44" i="2"/>
  <c r="T43" i="2"/>
  <c r="S43" i="2"/>
  <c r="U18" i="2"/>
  <c r="U43" i="2" s="1"/>
  <c r="T18" i="2"/>
  <c r="S18" i="2"/>
  <c r="Z39" i="2"/>
  <c r="Y39" i="2"/>
  <c r="X39" i="2"/>
  <c r="W39" i="2"/>
  <c r="V39" i="2"/>
  <c r="U39" i="2"/>
  <c r="T39" i="2"/>
  <c r="S39" i="2"/>
  <c r="T38" i="2"/>
  <c r="S38" i="2"/>
  <c r="T10" i="2"/>
  <c r="U10" i="2" s="1"/>
  <c r="V10" i="2" s="1"/>
  <c r="W10" i="2" s="1"/>
  <c r="X10" i="2" s="1"/>
  <c r="Y10" i="2" s="1"/>
  <c r="Z10" i="2" s="1"/>
  <c r="S10" i="2"/>
  <c r="T9" i="2"/>
  <c r="S9" i="2"/>
  <c r="J50" i="2"/>
  <c r="I50" i="2"/>
  <c r="H50" i="2"/>
  <c r="J49" i="2"/>
  <c r="I49" i="2"/>
  <c r="H49" i="2"/>
  <c r="I47" i="2"/>
  <c r="H47" i="2"/>
  <c r="I46" i="2"/>
  <c r="H46" i="2"/>
  <c r="I45" i="2"/>
  <c r="H45" i="2"/>
  <c r="I44" i="2"/>
  <c r="H44" i="2"/>
  <c r="I43" i="2"/>
  <c r="H43" i="2"/>
  <c r="I42" i="2"/>
  <c r="H42" i="2"/>
  <c r="I29" i="2"/>
  <c r="I27" i="2"/>
  <c r="I25" i="2"/>
  <c r="I24" i="2"/>
  <c r="I23" i="2"/>
  <c r="I22" i="2"/>
  <c r="I19" i="2"/>
  <c r="I18" i="2"/>
  <c r="I17" i="2"/>
  <c r="I12" i="2"/>
  <c r="I14" i="2"/>
  <c r="I13" i="2"/>
  <c r="I10" i="2"/>
  <c r="I9" i="2"/>
  <c r="I8" i="2"/>
  <c r="I6" i="2"/>
  <c r="I5" i="2"/>
  <c r="I4" i="2"/>
  <c r="I3" i="2"/>
  <c r="H40" i="2"/>
  <c r="H39" i="2"/>
  <c r="H38" i="2"/>
  <c r="H37" i="2"/>
  <c r="H36" i="2"/>
  <c r="H35" i="2"/>
  <c r="H34" i="2"/>
  <c r="I83" i="2"/>
  <c r="J83" i="2"/>
  <c r="K83" i="2"/>
  <c r="I76" i="2"/>
  <c r="I72" i="2"/>
  <c r="I57" i="2"/>
  <c r="J78" i="2"/>
  <c r="F78" i="2"/>
  <c r="H75" i="2"/>
  <c r="I75" i="2" s="1"/>
  <c r="H72" i="2"/>
  <c r="H65" i="2"/>
  <c r="I65" i="2" s="1"/>
  <c r="H62" i="2"/>
  <c r="I62" i="2" s="1"/>
  <c r="H55" i="2"/>
  <c r="I55" i="2" s="1"/>
  <c r="D20" i="2"/>
  <c r="R36" i="2"/>
  <c r="R35" i="2"/>
  <c r="R34" i="2"/>
  <c r="J36" i="2"/>
  <c r="J35" i="2"/>
  <c r="J34" i="2"/>
  <c r="K36" i="2"/>
  <c r="K35" i="2"/>
  <c r="K34" i="2"/>
  <c r="Q86" i="2"/>
  <c r="R86" i="2"/>
  <c r="R78" i="2"/>
  <c r="Q78" i="2"/>
  <c r="P59" i="2"/>
  <c r="Q59" i="2"/>
  <c r="R59" i="2"/>
  <c r="I59" i="2" s="1"/>
  <c r="P78" i="2"/>
  <c r="R69" i="2"/>
  <c r="Q69" i="2"/>
  <c r="P69" i="2"/>
  <c r="R39" i="2"/>
  <c r="Q39" i="2"/>
  <c r="R38" i="2"/>
  <c r="Q38" i="2"/>
  <c r="Q37" i="2"/>
  <c r="R37" i="2"/>
  <c r="R44" i="2"/>
  <c r="Q44" i="2"/>
  <c r="P44" i="2"/>
  <c r="R43" i="2"/>
  <c r="Q43" i="2"/>
  <c r="P43" i="2"/>
  <c r="R42" i="2"/>
  <c r="Q42" i="2"/>
  <c r="P42" i="2"/>
  <c r="R20" i="2"/>
  <c r="Q20" i="2"/>
  <c r="P20" i="2"/>
  <c r="R16" i="2"/>
  <c r="R50" i="2" s="1"/>
  <c r="Q16" i="2"/>
  <c r="Q50" i="2" s="1"/>
  <c r="P16" i="2"/>
  <c r="P50" i="2" s="1"/>
  <c r="Q2" i="2"/>
  <c r="R2" i="2" s="1"/>
  <c r="S2" i="2" s="1"/>
  <c r="T2" i="2" s="1"/>
  <c r="U2" i="2" s="1"/>
  <c r="V2" i="2" s="1"/>
  <c r="W2" i="2" s="1"/>
  <c r="X2" i="2" s="1"/>
  <c r="Y2" i="2" s="1"/>
  <c r="Z2" i="2" s="1"/>
  <c r="F69" i="2"/>
  <c r="F60" i="2"/>
  <c r="F82" i="2" s="1"/>
  <c r="F84" i="2" s="1"/>
  <c r="J69" i="2"/>
  <c r="J60" i="2"/>
  <c r="J82" i="2" s="1"/>
  <c r="J84" i="2" s="1"/>
  <c r="J39" i="2"/>
  <c r="J38" i="2"/>
  <c r="J37" i="2"/>
  <c r="F44" i="2"/>
  <c r="F43" i="2"/>
  <c r="F42" i="2"/>
  <c r="J44" i="2"/>
  <c r="J43" i="2"/>
  <c r="J42" i="2"/>
  <c r="G86" i="2"/>
  <c r="K86" i="2"/>
  <c r="G79" i="2"/>
  <c r="H79" i="2" s="1"/>
  <c r="I79" i="2" s="1"/>
  <c r="K79" i="2"/>
  <c r="G77" i="2"/>
  <c r="H77" i="2" s="1"/>
  <c r="I77" i="2" s="1"/>
  <c r="G75" i="2"/>
  <c r="G74" i="2"/>
  <c r="H74" i="2" s="1"/>
  <c r="I74" i="2" s="1"/>
  <c r="G73" i="2"/>
  <c r="H73" i="2" s="1"/>
  <c r="I73" i="2" s="1"/>
  <c r="G72" i="2"/>
  <c r="G71" i="2"/>
  <c r="G78" i="2" s="1"/>
  <c r="K77" i="2"/>
  <c r="K75" i="2"/>
  <c r="K74" i="2"/>
  <c r="K72" i="2"/>
  <c r="K71" i="2"/>
  <c r="K78" i="2" s="1"/>
  <c r="G68" i="2"/>
  <c r="H68" i="2" s="1"/>
  <c r="I68" i="2" s="1"/>
  <c r="G67" i="2"/>
  <c r="H67" i="2" s="1"/>
  <c r="I67" i="2" s="1"/>
  <c r="G66" i="2"/>
  <c r="H66" i="2" s="1"/>
  <c r="I66" i="2" s="1"/>
  <c r="G65" i="2"/>
  <c r="G64" i="2"/>
  <c r="H64" i="2" s="1"/>
  <c r="I64" i="2" s="1"/>
  <c r="G63" i="2"/>
  <c r="H63" i="2" s="1"/>
  <c r="I63" i="2" s="1"/>
  <c r="G62" i="2"/>
  <c r="K66" i="2"/>
  <c r="K65" i="2"/>
  <c r="K64" i="2"/>
  <c r="K63" i="2"/>
  <c r="K62" i="2"/>
  <c r="K68" i="2"/>
  <c r="K67" i="2"/>
  <c r="G59" i="2"/>
  <c r="H59" i="2" s="1"/>
  <c r="G58" i="2"/>
  <c r="H58" i="2" s="1"/>
  <c r="I58" i="2" s="1"/>
  <c r="G56" i="2"/>
  <c r="H56" i="2" s="1"/>
  <c r="I56" i="2" s="1"/>
  <c r="G55" i="2"/>
  <c r="G54" i="2"/>
  <c r="H54" i="2" s="1"/>
  <c r="I54" i="2" s="1"/>
  <c r="K52" i="2"/>
  <c r="K59" i="2"/>
  <c r="K56" i="2"/>
  <c r="K55" i="2"/>
  <c r="K54" i="2"/>
  <c r="G44" i="2"/>
  <c r="G43" i="2"/>
  <c r="G42" i="2"/>
  <c r="K43" i="2"/>
  <c r="K44" i="2"/>
  <c r="K42" i="2"/>
  <c r="K39" i="2"/>
  <c r="K38" i="2"/>
  <c r="K37" i="2"/>
  <c r="J20" i="2"/>
  <c r="I20" i="2"/>
  <c r="H20" i="2"/>
  <c r="G20" i="2"/>
  <c r="F20" i="2"/>
  <c r="E20" i="2"/>
  <c r="C20" i="2"/>
  <c r="B20" i="2"/>
  <c r="K20" i="2"/>
  <c r="J16" i="2"/>
  <c r="I16" i="2"/>
  <c r="H16" i="2"/>
  <c r="G16" i="2"/>
  <c r="G49" i="2" s="1"/>
  <c r="F16" i="2"/>
  <c r="F49" i="2" s="1"/>
  <c r="E16" i="2"/>
  <c r="D16" i="2"/>
  <c r="C16" i="2"/>
  <c r="B16" i="2"/>
  <c r="K16" i="2"/>
  <c r="K50" i="2" s="1"/>
  <c r="L7" i="1"/>
  <c r="L6" i="1"/>
  <c r="U8" i="2" l="1"/>
  <c r="T37" i="2"/>
  <c r="S17" i="2"/>
  <c r="S20" i="2" s="1"/>
  <c r="V18" i="2"/>
  <c r="V43" i="2" s="1"/>
  <c r="V38" i="2"/>
  <c r="S42" i="2"/>
  <c r="T17" i="2"/>
  <c r="T42" i="2" s="1"/>
  <c r="T16" i="2"/>
  <c r="S16" i="2"/>
  <c r="I69" i="2"/>
  <c r="H71" i="2"/>
  <c r="H69" i="2"/>
  <c r="H21" i="2"/>
  <c r="H26" i="2" s="1"/>
  <c r="H28" i="2" s="1"/>
  <c r="H30" i="2" s="1"/>
  <c r="H32" i="2" s="1"/>
  <c r="K49" i="2"/>
  <c r="F50" i="2"/>
  <c r="R49" i="2"/>
  <c r="G50" i="2"/>
  <c r="P49" i="2"/>
  <c r="Q49" i="2"/>
  <c r="R40" i="2"/>
  <c r="C21" i="2"/>
  <c r="C26" i="2" s="1"/>
  <c r="C28" i="2" s="1"/>
  <c r="C30" i="2" s="1"/>
  <c r="C32" i="2" s="1"/>
  <c r="Q40" i="2"/>
  <c r="B21" i="2"/>
  <c r="B26" i="2" s="1"/>
  <c r="B28" i="2" s="1"/>
  <c r="B30" i="2" s="1"/>
  <c r="B32" i="2" s="1"/>
  <c r="J80" i="2"/>
  <c r="R21" i="2"/>
  <c r="Q21" i="2"/>
  <c r="P21" i="2"/>
  <c r="D21" i="2"/>
  <c r="D26" i="2" s="1"/>
  <c r="D28" i="2" s="1"/>
  <c r="D30" i="2" s="1"/>
  <c r="D32" i="2" s="1"/>
  <c r="K40" i="2"/>
  <c r="E21" i="2"/>
  <c r="E26" i="2" s="1"/>
  <c r="E28" i="2" s="1"/>
  <c r="E30" i="2" s="1"/>
  <c r="E32" i="2" s="1"/>
  <c r="F80" i="2"/>
  <c r="K60" i="2"/>
  <c r="K82" i="2" s="1"/>
  <c r="K84" i="2" s="1"/>
  <c r="J21" i="2"/>
  <c r="J26" i="2" s="1"/>
  <c r="J46" i="2" s="1"/>
  <c r="K69" i="2"/>
  <c r="F21" i="2"/>
  <c r="I21" i="2"/>
  <c r="I26" i="2" s="1"/>
  <c r="I28" i="2" s="1"/>
  <c r="I30" i="2" s="1"/>
  <c r="I32" i="2" s="1"/>
  <c r="K21" i="2"/>
  <c r="J40" i="2"/>
  <c r="G69" i="2"/>
  <c r="G21" i="2"/>
  <c r="G52" i="2"/>
  <c r="V8" i="2" l="1"/>
  <c r="U37" i="2"/>
  <c r="W38" i="2"/>
  <c r="W18" i="2"/>
  <c r="W43" i="2" s="1"/>
  <c r="S21" i="2"/>
  <c r="S45" i="2" s="1"/>
  <c r="S23" i="2"/>
  <c r="S50" i="2" s="1"/>
  <c r="S22" i="2"/>
  <c r="S49" i="2" s="1"/>
  <c r="S40" i="2"/>
  <c r="T50" i="2"/>
  <c r="T49" i="2"/>
  <c r="T40" i="2"/>
  <c r="T20" i="2"/>
  <c r="T21" i="2" s="1"/>
  <c r="T45" i="2" s="1"/>
  <c r="U17" i="2"/>
  <c r="U16" i="2"/>
  <c r="I71" i="2"/>
  <c r="I78" i="2" s="1"/>
  <c r="H78" i="2"/>
  <c r="G60" i="2"/>
  <c r="G82" i="2" s="1"/>
  <c r="G84" i="2" s="1"/>
  <c r="H52" i="2"/>
  <c r="H60" i="2" s="1"/>
  <c r="H82" i="2" s="1"/>
  <c r="H84" i="2" s="1"/>
  <c r="H80" i="2"/>
  <c r="Q26" i="2"/>
  <c r="Q28" i="2" s="1"/>
  <c r="Q30" i="2" s="1"/>
  <c r="Q45" i="2"/>
  <c r="R26" i="2"/>
  <c r="R45" i="2"/>
  <c r="P26" i="2"/>
  <c r="P28" i="2" s="1"/>
  <c r="P30" i="2" s="1"/>
  <c r="P52" i="2" s="1"/>
  <c r="P60" i="2" s="1"/>
  <c r="P45" i="2"/>
  <c r="R28" i="2"/>
  <c r="R30" i="2" s="1"/>
  <c r="R46" i="2"/>
  <c r="K80" i="2"/>
  <c r="J45" i="2"/>
  <c r="J28" i="2"/>
  <c r="J30" i="2" s="1"/>
  <c r="J32" i="2" s="1"/>
  <c r="K26" i="2"/>
  <c r="K45" i="2"/>
  <c r="F26" i="2"/>
  <c r="F45" i="2"/>
  <c r="G80" i="2"/>
  <c r="G45" i="2"/>
  <c r="G26" i="2"/>
  <c r="G46" i="2" s="1"/>
  <c r="W8" i="2" l="1"/>
  <c r="V37" i="2"/>
  <c r="U42" i="2"/>
  <c r="X18" i="2"/>
  <c r="X43" i="2" s="1"/>
  <c r="X38" i="2"/>
  <c r="S26" i="2"/>
  <c r="S46" i="2" s="1"/>
  <c r="U21" i="2"/>
  <c r="U45" i="2" s="1"/>
  <c r="U49" i="2"/>
  <c r="U50" i="2"/>
  <c r="U40" i="2"/>
  <c r="V17" i="2"/>
  <c r="V16" i="2"/>
  <c r="Q46" i="2"/>
  <c r="P80" i="2"/>
  <c r="P82" i="2"/>
  <c r="P84" i="2" s="1"/>
  <c r="R32" i="2"/>
  <c r="R52" i="2"/>
  <c r="P46" i="2"/>
  <c r="Q47" i="2"/>
  <c r="Q52" i="2"/>
  <c r="Q60" i="2" s="1"/>
  <c r="R47" i="2"/>
  <c r="Q32" i="2"/>
  <c r="P32" i="2"/>
  <c r="P47" i="2"/>
  <c r="J47" i="2"/>
  <c r="G28" i="2"/>
  <c r="G30" i="2" s="1"/>
  <c r="F46" i="2"/>
  <c r="F28" i="2"/>
  <c r="F30" i="2" s="1"/>
  <c r="K28" i="2"/>
  <c r="K30" i="2" s="1"/>
  <c r="K46" i="2"/>
  <c r="X8" i="2" l="1"/>
  <c r="W37" i="2"/>
  <c r="Y18" i="2"/>
  <c r="Y43" i="2" s="1"/>
  <c r="Y38" i="2"/>
  <c r="V45" i="2"/>
  <c r="V49" i="2"/>
  <c r="V50" i="2"/>
  <c r="V40" i="2"/>
  <c r="V42" i="2"/>
  <c r="S28" i="2"/>
  <c r="S29" i="2" s="1"/>
  <c r="S30" i="2" s="1"/>
  <c r="W17" i="2"/>
  <c r="W16" i="2"/>
  <c r="R60" i="2"/>
  <c r="I52" i="2"/>
  <c r="I60" i="2" s="1"/>
  <c r="Q80" i="2"/>
  <c r="Q82" i="2"/>
  <c r="Q84" i="2" s="1"/>
  <c r="R84" i="2"/>
  <c r="R80" i="2"/>
  <c r="K47" i="2"/>
  <c r="K32" i="2"/>
  <c r="G32" i="2"/>
  <c r="G47" i="2"/>
  <c r="F32" i="2"/>
  <c r="F47" i="2"/>
  <c r="Y8" i="2" l="1"/>
  <c r="X37" i="2"/>
  <c r="Z38" i="2"/>
  <c r="Z18" i="2"/>
  <c r="Z43" i="2" s="1"/>
  <c r="W45" i="2"/>
  <c r="W50" i="2"/>
  <c r="W49" i="2"/>
  <c r="W40" i="2"/>
  <c r="W42" i="2"/>
  <c r="X17" i="2"/>
  <c r="X16" i="2"/>
  <c r="S86" i="2"/>
  <c r="T25" i="2" s="1"/>
  <c r="S47" i="2"/>
  <c r="S32" i="2"/>
  <c r="I82" i="2"/>
  <c r="I84" i="2" s="1"/>
  <c r="I80" i="2"/>
  <c r="Z8" i="2" l="1"/>
  <c r="Z37" i="2" s="1"/>
  <c r="Y37" i="2"/>
  <c r="Y17" i="2"/>
  <c r="Y16" i="2"/>
  <c r="X45" i="2"/>
  <c r="X50" i="2"/>
  <c r="X49" i="2"/>
  <c r="X40" i="2"/>
  <c r="X42" i="2"/>
  <c r="T26" i="2"/>
  <c r="Z16" i="2" l="1"/>
  <c r="Z17" i="2"/>
  <c r="Y45" i="2"/>
  <c r="Y50" i="2"/>
  <c r="Y49" i="2"/>
  <c r="Y40" i="2"/>
  <c r="Y42" i="2"/>
  <c r="T28" i="2"/>
  <c r="T29" i="2" s="1"/>
  <c r="T30" i="2" s="1"/>
  <c r="T46" i="2"/>
  <c r="Z42" i="2" l="1"/>
  <c r="Z45" i="2"/>
  <c r="Z50" i="2"/>
  <c r="Z49" i="2"/>
  <c r="Z40" i="2"/>
  <c r="T47" i="2"/>
  <c r="T32" i="2"/>
  <c r="T86" i="2"/>
  <c r="U25" i="2" s="1"/>
  <c r="U26" i="2" l="1"/>
  <c r="U28" i="2" l="1"/>
  <c r="U29" i="2" s="1"/>
  <c r="U30" i="2" s="1"/>
  <c r="U46" i="2"/>
  <c r="U47" i="2" l="1"/>
  <c r="U32" i="2"/>
  <c r="U86" i="2"/>
  <c r="V25" i="2" s="1"/>
  <c r="V26" i="2" l="1"/>
  <c r="V28" i="2" l="1"/>
  <c r="V29" i="2" s="1"/>
  <c r="V30" i="2" s="1"/>
  <c r="V46" i="2"/>
  <c r="V32" i="2" l="1"/>
  <c r="V47" i="2"/>
  <c r="V86" i="2"/>
  <c r="W25" i="2" s="1"/>
  <c r="W26" i="2" l="1"/>
  <c r="W28" i="2" l="1"/>
  <c r="W29" i="2" s="1"/>
  <c r="W30" i="2" s="1"/>
  <c r="W46" i="2"/>
  <c r="W47" i="2" l="1"/>
  <c r="W32" i="2"/>
  <c r="W86" i="2"/>
  <c r="X25" i="2" s="1"/>
  <c r="X26" i="2" l="1"/>
  <c r="X46" i="2" l="1"/>
  <c r="X28" i="2"/>
  <c r="X29" i="2" s="1"/>
  <c r="X30" i="2" s="1"/>
  <c r="X32" i="2" l="1"/>
  <c r="X47" i="2"/>
  <c r="X86" i="2"/>
  <c r="Y25" i="2" s="1"/>
  <c r="Y26" i="2" l="1"/>
  <c r="Y46" i="2" l="1"/>
  <c r="Y28" i="2"/>
  <c r="Y29" i="2" s="1"/>
  <c r="Y30" i="2" s="1"/>
  <c r="Y47" i="2" l="1"/>
  <c r="Y32" i="2"/>
  <c r="Y86" i="2"/>
  <c r="Z25" i="2" s="1"/>
  <c r="Z26" i="2" l="1"/>
  <c r="Z46" i="2" l="1"/>
  <c r="Z28" i="2"/>
  <c r="Z29" i="2" s="1"/>
  <c r="Z30" i="2" s="1"/>
  <c r="AA30" i="2" s="1"/>
  <c r="AB30" i="2" s="1"/>
  <c r="AC30" i="2" s="1"/>
  <c r="AD30" i="2" s="1"/>
  <c r="AE30" i="2" s="1"/>
  <c r="AF30" i="2" s="1"/>
  <c r="AG30" i="2" s="1"/>
  <c r="AH30" i="2" s="1"/>
  <c r="AI30" i="2" s="1"/>
  <c r="AJ30" i="2" s="1"/>
  <c r="AK30" i="2" s="1"/>
  <c r="AL30" i="2" s="1"/>
  <c r="AM30" i="2" s="1"/>
  <c r="AN30" i="2" s="1"/>
  <c r="AO30" i="2" s="1"/>
  <c r="AP30" i="2" s="1"/>
  <c r="AQ30" i="2" s="1"/>
  <c r="AR30" i="2" s="1"/>
  <c r="AS30" i="2" s="1"/>
  <c r="AT30" i="2" s="1"/>
  <c r="AU30" i="2" s="1"/>
  <c r="AV30" i="2" s="1"/>
  <c r="AW30" i="2" s="1"/>
  <c r="AX30" i="2" s="1"/>
  <c r="AY30" i="2" s="1"/>
  <c r="AZ30" i="2" s="1"/>
  <c r="BA30" i="2" s="1"/>
  <c r="BB30" i="2" s="1"/>
  <c r="BC30" i="2" s="1"/>
  <c r="BD30" i="2" s="1"/>
  <c r="BE30" i="2" s="1"/>
  <c r="BF30" i="2" s="1"/>
  <c r="BG30" i="2" s="1"/>
  <c r="BH30" i="2" s="1"/>
  <c r="BI30" i="2" s="1"/>
  <c r="BJ30" i="2" s="1"/>
  <c r="BK30" i="2" s="1"/>
  <c r="BL30" i="2" s="1"/>
  <c r="BM30" i="2" s="1"/>
  <c r="AC7" i="2" s="1"/>
  <c r="Z32" i="2" l="1"/>
  <c r="Z47" i="2"/>
  <c r="Z86"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alexa</author>
  </authors>
  <commentList>
    <comment ref="R65" authorId="0" shapeId="0" xr:uid="{37B8C2F3-5E53-43F0-88D4-7B83928B20E9}">
      <text>
        <r>
          <rPr>
            <b/>
            <sz val="9"/>
            <color indexed="81"/>
            <rFont val="Tahoma"/>
            <charset val="1"/>
          </rPr>
          <t>alexa:</t>
        </r>
        <r>
          <rPr>
            <sz val="9"/>
            <color indexed="81"/>
            <rFont val="Tahoma"/>
            <charset val="1"/>
          </rPr>
          <t xml:space="preserve">
Acquiring for future growth??</t>
        </r>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6"/>
        </ext>
      </extLst>
    </bk>
  </futureMetadata>
  <cellMetadata count="1">
    <bk>
      <rc t="1" v="0"/>
    </bk>
  </cellMetadata>
  <valueMetadata count="1">
    <bk>
      <rc t="2" v="0"/>
    </bk>
  </valueMetadata>
</metadata>
</file>

<file path=xl/sharedStrings.xml><?xml version="1.0" encoding="utf-8"?>
<sst xmlns="http://schemas.openxmlformats.org/spreadsheetml/2006/main" count="101" uniqueCount="88">
  <si>
    <t>ticket</t>
  </si>
  <si>
    <t>price</t>
  </si>
  <si>
    <t>shares</t>
  </si>
  <si>
    <t>mc</t>
  </si>
  <si>
    <t>cash</t>
  </si>
  <si>
    <t>debt</t>
  </si>
  <si>
    <t>ev</t>
  </si>
  <si>
    <t>Q1 2022</t>
  </si>
  <si>
    <t>Q2 2022</t>
  </si>
  <si>
    <t>Q3 2022</t>
  </si>
  <si>
    <t>Q4 2022</t>
  </si>
  <si>
    <t>Q1 2023</t>
  </si>
  <si>
    <t>Q2 2023</t>
  </si>
  <si>
    <t>Q3 2023</t>
  </si>
  <si>
    <t>Q4 2023</t>
  </si>
  <si>
    <t>Q1 2024</t>
  </si>
  <si>
    <t>Q2 2024</t>
  </si>
  <si>
    <t>Q3 2024</t>
  </si>
  <si>
    <t>Q4 2024</t>
  </si>
  <si>
    <t>Services</t>
  </si>
  <si>
    <t>Sales</t>
  </si>
  <si>
    <t>Financing</t>
  </si>
  <si>
    <t>Revenue</t>
  </si>
  <si>
    <t>COGS Services</t>
  </si>
  <si>
    <t>COGS Sales</t>
  </si>
  <si>
    <t>COGS Financing</t>
  </si>
  <si>
    <t>Total COGS</t>
  </si>
  <si>
    <t>Gross Profit</t>
  </si>
  <si>
    <t>S&amp;G&amp;A</t>
  </si>
  <si>
    <t>R&amp;D</t>
  </si>
  <si>
    <t>Other income</t>
  </si>
  <si>
    <t>Interest expenses</t>
  </si>
  <si>
    <t>EBIT</t>
  </si>
  <si>
    <t>Pretax Income</t>
  </si>
  <si>
    <t>Taxes</t>
  </si>
  <si>
    <t>Net Income</t>
  </si>
  <si>
    <t>Shares</t>
  </si>
  <si>
    <t>EPS</t>
  </si>
  <si>
    <t>Development costs</t>
  </si>
  <si>
    <t>Revenue y/y</t>
  </si>
  <si>
    <t>Gross Margin</t>
  </si>
  <si>
    <t>EBIT Margin</t>
  </si>
  <si>
    <t>Net Margin</t>
  </si>
  <si>
    <t>Depreciation</t>
  </si>
  <si>
    <t>Amortization of capitalized software</t>
  </si>
  <si>
    <t>SBC</t>
  </si>
  <si>
    <t>divestitures &amp; asset sales</t>
  </si>
  <si>
    <t>Changes in operating A &amp; L</t>
  </si>
  <si>
    <t>CFFO</t>
  </si>
  <si>
    <t>Capex</t>
  </si>
  <si>
    <t>Proceeds from PPE</t>
  </si>
  <si>
    <t>Investment in software</t>
  </si>
  <si>
    <t>Acquisition of businesses</t>
  </si>
  <si>
    <t>Divestitures of businesses</t>
  </si>
  <si>
    <t>Purchases of MS</t>
  </si>
  <si>
    <t>Proceeds from disposition of MS</t>
  </si>
  <si>
    <t>CFFI</t>
  </si>
  <si>
    <t>New Debt</t>
  </si>
  <si>
    <t>Payments of debt</t>
  </si>
  <si>
    <t>Commercial Papers</t>
  </si>
  <si>
    <t>Shares repurchases</t>
  </si>
  <si>
    <t>other</t>
  </si>
  <si>
    <t>Dividends</t>
  </si>
  <si>
    <t>CFFF</t>
  </si>
  <si>
    <t>Fx</t>
  </si>
  <si>
    <t>Net Change in cash</t>
  </si>
  <si>
    <t>FCF</t>
  </si>
  <si>
    <t>Net Cash</t>
  </si>
  <si>
    <t>SBC %</t>
  </si>
  <si>
    <t>Pension settlement charge</t>
  </si>
  <si>
    <t>Deferred taxes</t>
  </si>
  <si>
    <t>Distribution from Kyndry</t>
  </si>
  <si>
    <t>S&amp;G&amp;A %</t>
  </si>
  <si>
    <t>R&amp;D %</t>
  </si>
  <si>
    <t>Software</t>
  </si>
  <si>
    <t>Consulting</t>
  </si>
  <si>
    <t>Infrastructure</t>
  </si>
  <si>
    <t>Other</t>
  </si>
  <si>
    <t>Americas</t>
  </si>
  <si>
    <t>EMEA</t>
  </si>
  <si>
    <t>Asia Pacific</t>
  </si>
  <si>
    <t>TTM</t>
  </si>
  <si>
    <t>EV/FCF</t>
  </si>
  <si>
    <t>Discount</t>
  </si>
  <si>
    <t>Maturity</t>
  </si>
  <si>
    <t>ROIC</t>
  </si>
  <si>
    <t>NPV</t>
  </si>
  <si>
    <t>Price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</si>
</sst>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_-[$$-409]* #,##0.00_ ;_-[$$-409]* \-#,##0.00\ ;_-[$$-409]* &quot;-&quot;??_ ;_-@_ "/>
    <numFmt numFmtId="165" formatCode="0.0%"/>
    <numFmt numFmtId="166" formatCode="0.00\x"/>
    <numFmt numFmtId="167" formatCode="_-[$$-409]* #,##0_ ;_-[$$-409]* \-#,##0\ ;_-[$$-409]* &quot;-&quot;??_ ;_-@_ "/>
    <numFmt numFmtId="168" formatCode="_([$$-409]* #,##0.00_);_([$$-409]* \(#,##0.00\);_([$$-409]* &quot;-&quot;??_);_(@_)"/>
  </numFmts>
  <fonts count="5" x14ac:knownFonts="1">
    <font>
      <sz val="11"/>
      <color theme="1"/>
      <name val="Aptos Narrow"/>
      <family val="2"/>
      <scheme val="minor"/>
    </font>
    <font>
      <sz val="10"/>
      <color theme="1"/>
      <name val="Arial"/>
      <family val="2"/>
    </font>
    <font>
      <b/>
      <sz val="10"/>
      <color theme="1"/>
      <name val="Arial"/>
      <family val="2"/>
    </font>
    <font>
      <sz val="9"/>
      <color indexed="81"/>
      <name val="Tahoma"/>
      <charset val="1"/>
    </font>
    <font>
      <b/>
      <sz val="9"/>
      <color indexed="81"/>
      <name val="Tahoma"/>
      <charset val="1"/>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4">
    <xf numFmtId="0" fontId="0" fillId="0" borderId="0" xfId="0"/>
    <xf numFmtId="0" fontId="1" fillId="0" borderId="0" xfId="0" applyFont="1"/>
    <xf numFmtId="3" fontId="1" fillId="0" borderId="0" xfId="0" applyNumberFormat="1" applyFont="1"/>
    <xf numFmtId="0" fontId="2" fillId="0" borderId="0" xfId="0" applyFont="1"/>
    <xf numFmtId="3" fontId="2" fillId="0" borderId="0" xfId="0" applyNumberFormat="1" applyFont="1"/>
    <xf numFmtId="164" fontId="1" fillId="0" borderId="0" xfId="0" applyNumberFormat="1" applyFont="1"/>
    <xf numFmtId="9" fontId="1" fillId="0" borderId="0" xfId="0" applyNumberFormat="1" applyFont="1"/>
    <xf numFmtId="165" fontId="1" fillId="0" borderId="0" xfId="0" applyNumberFormat="1" applyFont="1"/>
    <xf numFmtId="165" fontId="2" fillId="0" borderId="0" xfId="0" applyNumberFormat="1" applyFont="1"/>
    <xf numFmtId="166" fontId="1" fillId="0" borderId="0" xfId="0" applyNumberFormat="1" applyFont="1"/>
    <xf numFmtId="167" fontId="1" fillId="0" borderId="0" xfId="0" applyNumberFormat="1" applyFont="1"/>
    <xf numFmtId="10" fontId="1" fillId="0" borderId="0" xfId="0" applyNumberFormat="1" applyFont="1"/>
    <xf numFmtId="168" fontId="1" fillId="0" borderId="0" xfId="0" applyNumberFormat="1" applyFont="1"/>
    <xf numFmtId="3" fontId="1" fillId="2" borderId="0" xfId="0" applyNumberFormat="1"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drawings/drawing1.xml><?xml version="1.0" encoding="utf-8"?>
<xdr:wsDr xmlns:xdr="http://schemas.openxmlformats.org/drawingml/2006/spreadsheetDrawing" xmlns:a="http://schemas.openxmlformats.org/drawingml/2006/main">
  <xdr:twoCellAnchor>
    <xdr:from>
      <xdr:col>11</xdr:col>
      <xdr:colOff>15240</xdr:colOff>
      <xdr:row>0</xdr:row>
      <xdr:rowOff>0</xdr:rowOff>
    </xdr:from>
    <xdr:to>
      <xdr:col>11</xdr:col>
      <xdr:colOff>24765</xdr:colOff>
      <xdr:row>89</xdr:row>
      <xdr:rowOff>9525</xdr:rowOff>
    </xdr:to>
    <xdr:cxnSp macro="">
      <xdr:nvCxnSpPr>
        <xdr:cNvPr id="3" name="Straight Connector 2">
          <a:extLst>
            <a:ext uri="{FF2B5EF4-FFF2-40B4-BE49-F238E27FC236}">
              <a16:creationId xmlns:a16="http://schemas.microsoft.com/office/drawing/2014/main" id="{16A4312F-27AA-DB5E-6478-B35EC7736A8B}"/>
            </a:ext>
          </a:extLst>
        </xdr:cNvPr>
        <xdr:cNvCxnSpPr/>
      </xdr:nvCxnSpPr>
      <xdr:spPr>
        <a:xfrm flipH="1">
          <a:off x="8389620" y="0"/>
          <a:ext cx="9525" cy="14929485"/>
        </a:xfrm>
        <a:prstGeom prst="line">
          <a:avLst/>
        </a:prstGeom>
      </xdr:spPr>
      <xdr:style>
        <a:lnRef idx="2">
          <a:schemeClr val="accent1"/>
        </a:lnRef>
        <a:fillRef idx="0">
          <a:schemeClr val="accent1"/>
        </a:fillRef>
        <a:effectRef idx="1">
          <a:schemeClr val="accent1"/>
        </a:effectRef>
        <a:fontRef idx="minor">
          <a:schemeClr val="tx1"/>
        </a:fontRef>
      </xdr:style>
    </xdr:cxnSp>
    <xdr:clientData/>
  </xdr:twoCellAnchor>
  <xdr:twoCellAnchor>
    <xdr:from>
      <xdr:col>18</xdr:col>
      <xdr:colOff>0</xdr:colOff>
      <xdr:row>0</xdr:row>
      <xdr:rowOff>0</xdr:rowOff>
    </xdr:from>
    <xdr:to>
      <xdr:col>18</xdr:col>
      <xdr:colOff>9525</xdr:colOff>
      <xdr:row>99</xdr:row>
      <xdr:rowOff>9525</xdr:rowOff>
    </xdr:to>
    <xdr:cxnSp macro="">
      <xdr:nvCxnSpPr>
        <xdr:cNvPr id="7" name="Straight Connector 6">
          <a:extLst>
            <a:ext uri="{FF2B5EF4-FFF2-40B4-BE49-F238E27FC236}">
              <a16:creationId xmlns:a16="http://schemas.microsoft.com/office/drawing/2014/main" id="{C267DA3C-D781-1F55-044A-19CA9F33E991}"/>
            </a:ext>
          </a:extLst>
        </xdr:cNvPr>
        <xdr:cNvCxnSpPr/>
      </xdr:nvCxnSpPr>
      <xdr:spPr>
        <a:xfrm>
          <a:off x="12430125" y="0"/>
          <a:ext cx="9525" cy="16040100"/>
        </a:xfrm>
        <a:prstGeom prst="line">
          <a:avLst/>
        </a:prstGeom>
      </xdr:spPr>
      <xdr:style>
        <a:lnRef idx="2">
          <a:schemeClr val="accent1"/>
        </a:lnRef>
        <a:fillRef idx="0">
          <a:schemeClr val="accent1"/>
        </a:fillRef>
        <a:effectRef idx="1">
          <a:schemeClr val="accent1"/>
        </a:effectRef>
        <a:fontRef idx="minor">
          <a:schemeClr val="tx1"/>
        </a:fontRef>
      </xdr:style>
    </xdr:cxnSp>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7">
  <rv s="0">
    <v>http://en.wikipedia.org/wiki/Public_domain</v>
    <v>Public domain</v>
  </rv>
  <rv s="0">
    <v>http://en.wikipedia.org/wiki/IBM</v>
    <v>Wikipedia</v>
  </rv>
  <rv s="1">
    <v>0</v>
    <v>1</v>
  </rv>
  <rv s="2">
    <v>6</v>
    <v>https://www.bing.com/th?id=AMMS_41da901be1b295dc42c72dadb9c0f67d&amp;qlt=95</v>
    <v>2</v>
    <v>0</v>
    <v>https://www.bing.com/images/search?form=xlimg&amp;q=ibm</v>
    <v>Image of INTERNATIONAL BUSINESS MACHINES CORPORATION</v>
  </rv>
  <rv s="0">
    <v>https://www.bing.com/financeapi/forcetrigger?t=a1v6nm&amp;q=XNYS%3aIBM&amp;form=skydnc</v>
    <v>Learn more on Bing</v>
  </rv>
  <rv s="3">
    <v>en-GB</v>
    <v>a1v6nm</v>
    <v>268435456</v>
    <v>1</v>
    <v>Powered by Refinitiv</v>
    <v>0</v>
    <v>INTERNATIONAL BUSINESS MACHINES CORPORATION (XNYS:IBM)</v>
    <v>3</v>
    <v>4</v>
    <v>Finance</v>
    <v>5</v>
    <v>224</v>
    <v>135.87</v>
    <v>0.68740000000000001</v>
    <v>2.2599999999999998</v>
    <v>1.477E-3</v>
    <v>1.0216000000000001E-2</v>
    <v>0.33</v>
    <v>USD</v>
    <v>International Business Machines Corporation is engaged in addressing the hybrid cloud and artificial intelligence (AI) opportunity with a platform-centric approach, focused on providing client value through a combination of technology and business expertise. Its segments include Software, Consulting, Infrastructure and Financing. Its Software segment comprises two business areas: Hybrid Platform &amp; Solutions, which includes software to help clients operate, manage and optimize their IT resources and business processes within hybrid, multi-cloud environments, and transaction processing, which includes software that supports client’s mission-critical, on-premises workloads in industries such as banking, airlines and retail. Consulting segment is engaged in business transformation, technology consulting and application operations. Infrastructure segment is engaged in hybrid infrastructure and infrastructure support. Financing segment is engaged in client financing and commercial financing.</v>
    <v>305300</v>
    <v>New York Stock Exchange</v>
    <v>XNYS</v>
    <v>XNYS</v>
    <v>1 New Orchard Road, ARMONK, NY, 10504 US</v>
    <v>224</v>
    <v>3</v>
    <v>Software &amp; IT Services</v>
    <v>Stock</v>
    <v>45561.977155335153</v>
    <v>4</v>
    <v>221.35499999999999</v>
    <v>205867411218</v>
    <v>INTERNATIONAL BUSINESS MACHINES CORPORATION</v>
    <v>INTERNATIONAL BUSINESS MACHINES CORPORATION</v>
    <v>222.11</v>
    <v>23.4453</v>
    <v>221.23</v>
    <v>223.49</v>
    <v>223.76</v>
    <v>921148200</v>
    <v>IBM</v>
    <v>INTERNATIONAL BUSINESS MACHINES CORPORATION (XNYS:IBM)</v>
    <v>2672744</v>
    <v>3833609</v>
    <v>1911</v>
  </rv>
  <rv s="4">
    <v>5</v>
  </rv>
</rvData>
</file>

<file path=xl/richData/rdrichvaluestructure.xml><?xml version="1.0" encoding="utf-8"?>
<rvStructures xmlns="http://schemas.microsoft.com/office/spreadsheetml/2017/richdata" count="5">
  <s t="_hyperlink">
    <k n="Address" t="s"/>
    <k n="Text" t="s"/>
  </s>
  <s t="_sourceattribution">
    <k n="License" t="r"/>
    <k n="Source" t="r"/>
  </s>
  <s t="_imageurl">
    <k n="_Provider" t="spb"/>
    <k n="Address" t="s"/>
    <k n="Attribution" t="r"/>
    <k n="ComputedImage" t="b"/>
    <k n="More Images 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6">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a>
  </spbArrays>
  <spbData count="7">
    <spb s="0">
      <v>0</v>
      <v>Name</v>
      <v>LearnMoreOnLink</v>
    </spb>
    <spb s="1">
      <v>0</v>
      <v>0</v>
    </spb>
    <spb s="2">
      <v>0</v>
      <v>0</v>
      <v>0</v>
    </spb>
    <spb s="3">
      <v>1</v>
      <v>2</v>
      <v>2</v>
      <v>2</v>
      <v>2</v>
    </spb>
    <spb s="4">
      <v>1</v>
      <v>2</v>
      <v>2</v>
      <v>1</v>
      <v>3</v>
      <v>1</v>
      <v>4</v>
      <v>1</v>
      <v>1</v>
      <v>5</v>
      <v>5</v>
      <v>6</v>
      <v>7</v>
      <v>1</v>
      <v>1</v>
      <v>1</v>
      <v>5</v>
      <v>8</v>
      <v>9</v>
      <v>10</v>
      <v>5</v>
      <v>1</v>
      <v>1</v>
      <v>6</v>
    </spb>
    <spb s="5">
      <v>at close</v>
      <v>from previous close</v>
      <v>from previous close</v>
      <v>Source: Nasdaq Last Sale</v>
      <v>GMT</v>
      <v>Real-Time Nasdaq Last Sale</v>
      <v>from close</v>
      <v>from close</v>
    </spb>
    <spb s="6">
      <v>Powered by Refinitiv</v>
    </spb>
  </spbData>
</supportingPropertyBags>
</file>

<file path=xl/richData/rdsupportingpropertybagstructure.xml><?xml version="1.0" encoding="utf-8"?>
<spbStructures xmlns="http://schemas.microsoft.com/office/spreadsheetml/2017/richdata2" count="7">
  <s>
    <k n="^Order" t="spba"/>
    <k n="TitleProperty" t="s"/>
    <k n="SubTitleProperty" t="s"/>
  </s>
  <s>
    <k n="ShowInDotNotation" t="b"/>
    <k n="ShowInAutoComplete" t="b"/>
  </s>
  <s>
    <k n="ShowInCardView" t="b"/>
    <k n="ShowInDotNotation" t="b"/>
    <k n="ShowInAutoComplete" t="b"/>
  </s>
  <s>
    <k n="Image" t="spb"/>
    <k n="ExchangeID" t="spb"/>
    <k n="UniqueName" t="spb"/>
    <k n="`%ProviderInfo" t="spb"/>
    <k n="LearnMoreOnLink" t="spb"/>
  </s>
  <s>
    <k n="Low" t="i"/>
    <k n="P/E" t="i"/>
    <k n="Beta" t="i"/>
    <k n="High" t="i"/>
    <k n="Name" t="i"/>
    <k n="Open" t="i"/>
    <k n="Image"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
    <k n="na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dd/mm/yyyy\ hh:mm"/>
    </x:dxf>
    <x:dxf>
      <x:numFmt numFmtId="14" formatCode="0.00%"/>
    </x:dxf>
    <x:dxf>
      <x:numFmt numFmtId="3" formatCode="#,##0"/>
    </x:dxf>
    <x:dxf>
      <x:numFmt numFmtId="4" formatCode="#,##0.00"/>
    </x:dxf>
    <x:dxf>
      <x:numFmt numFmtId="1" formatCode="0"/>
    </x:dxf>
  </dxfs>
  <richProperties>
    <rPr n="NumberFormat" t="s"/>
    <rPr n="IsTitleField" t="b"/>
    <rPr n="IsHeroField" t="b"/>
  </richProperties>
  <richStyles>
    <rSty dxfid="1">
      <rpv i="0">_([$$-en-US]* #,##0.00_);_([$$-en-US]* (#,##0.00);_([$$-en-US]* "-"??_);_(@_)</rpv>
    </rSty>
    <rSty dxfid="5">
      <rpv i="0">#,##0.00</rpv>
    </rSty>
    <rSty>
      <rpv i="1">1</rpv>
    </rSty>
    <rSty>
      <rpv i="2">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A7CE7C-A17C-4E49-A408-C6AF00F7C189}">
  <dimension ref="K2:M11"/>
  <sheetViews>
    <sheetView workbookViewId="0">
      <selection activeCell="L11" sqref="L11"/>
    </sheetView>
  </sheetViews>
  <sheetFormatPr defaultColWidth="9.109375" defaultRowHeight="13.2" x14ac:dyDescent="0.25"/>
  <cols>
    <col min="1" max="16384" width="9.109375" style="1"/>
  </cols>
  <sheetData>
    <row r="2" spans="11:13" x14ac:dyDescent="0.25">
      <c r="K2" s="1" t="s">
        <v>0</v>
      </c>
      <c r="L2" s="1" t="e" vm="1">
        <v>#VALUE!</v>
      </c>
    </row>
    <row r="3" spans="11:13" x14ac:dyDescent="0.25">
      <c r="K3" s="1" t="s">
        <v>1</v>
      </c>
      <c r="L3" s="12" cm="1">
        <f t="array" ref="L3">+_FV(L2,"Price")</f>
        <v>223.49</v>
      </c>
    </row>
    <row r="4" spans="11:13" x14ac:dyDescent="0.25">
      <c r="K4" s="1" t="s">
        <v>2</v>
      </c>
      <c r="L4" s="1">
        <v>921.14819499999999</v>
      </c>
      <c r="M4" s="1" t="s">
        <v>16</v>
      </c>
    </row>
    <row r="5" spans="11:13" x14ac:dyDescent="0.25">
      <c r="K5" s="1" t="s">
        <v>3</v>
      </c>
      <c r="L5" s="2">
        <f>+L3*L4</f>
        <v>205867.41010055001</v>
      </c>
    </row>
    <row r="6" spans="11:13" x14ac:dyDescent="0.25">
      <c r="K6" s="1" t="s">
        <v>4</v>
      </c>
      <c r="L6" s="2">
        <f>12210+1481+5075+723+1840</f>
        <v>21329</v>
      </c>
      <c r="M6" s="1" t="s">
        <v>16</v>
      </c>
    </row>
    <row r="7" spans="11:13" x14ac:dyDescent="0.25">
      <c r="K7" s="1" t="s">
        <v>5</v>
      </c>
      <c r="L7" s="2">
        <f>3602+52929</f>
        <v>56531</v>
      </c>
      <c r="M7" s="1" t="s">
        <v>16</v>
      </c>
    </row>
    <row r="8" spans="11:13" x14ac:dyDescent="0.25">
      <c r="K8" s="1" t="s">
        <v>6</v>
      </c>
      <c r="L8" s="2">
        <f>+L5-L6+L7</f>
        <v>241069.41010055001</v>
      </c>
    </row>
    <row r="11" spans="11:13" x14ac:dyDescent="0.25">
      <c r="K11" s="1" t="s">
        <v>82</v>
      </c>
      <c r="L11" s="9">
        <f>+L8/model!K83</f>
        <v>20.341693536456841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6D1732-0C00-4219-A0F1-4C22486988CF}">
  <dimension ref="A2:BM88"/>
  <sheetViews>
    <sheetView tabSelected="1" workbookViewId="0">
      <pane xSplit="1" ySplit="2" topLeftCell="L3" activePane="bottomRight" state="frozen"/>
      <selection pane="topRight" activeCell="B1" sqref="B1"/>
      <selection pane="bottomLeft" activeCell="A3" sqref="A3"/>
      <selection pane="bottomRight" activeCell="M35" sqref="M35"/>
    </sheetView>
  </sheetViews>
  <sheetFormatPr defaultColWidth="9.109375" defaultRowHeight="13.2" x14ac:dyDescent="0.25"/>
  <cols>
    <col min="1" max="1" width="31" style="1" bestFit="1" customWidth="1"/>
    <col min="2" max="28" width="9.109375" style="1"/>
    <col min="29" max="29" width="12.33203125" style="1" bestFit="1" customWidth="1"/>
    <col min="30" max="16384" width="9.109375" style="1"/>
  </cols>
  <sheetData>
    <row r="2" spans="1:29" x14ac:dyDescent="0.25">
      <c r="B2" s="3" t="s">
        <v>7</v>
      </c>
      <c r="C2" s="3" t="s">
        <v>8</v>
      </c>
      <c r="D2" s="3" t="s">
        <v>9</v>
      </c>
      <c r="E2" s="3" t="s">
        <v>10</v>
      </c>
      <c r="F2" s="3" t="s">
        <v>11</v>
      </c>
      <c r="G2" s="3" t="s">
        <v>12</v>
      </c>
      <c r="H2" s="3" t="s">
        <v>13</v>
      </c>
      <c r="I2" s="3" t="s">
        <v>14</v>
      </c>
      <c r="J2" s="3" t="s">
        <v>15</v>
      </c>
      <c r="K2" s="3" t="s">
        <v>16</v>
      </c>
      <c r="L2" s="3" t="s">
        <v>17</v>
      </c>
      <c r="M2" s="3" t="s">
        <v>18</v>
      </c>
      <c r="P2" s="3">
        <v>2021</v>
      </c>
      <c r="Q2" s="3">
        <f>+P2+1</f>
        <v>2022</v>
      </c>
      <c r="R2" s="3">
        <f t="shared" ref="R2:Z2" si="0">+Q2+1</f>
        <v>2023</v>
      </c>
      <c r="S2" s="3">
        <f t="shared" si="0"/>
        <v>2024</v>
      </c>
      <c r="T2" s="3">
        <f t="shared" si="0"/>
        <v>2025</v>
      </c>
      <c r="U2" s="3">
        <f t="shared" si="0"/>
        <v>2026</v>
      </c>
      <c r="V2" s="3">
        <f t="shared" si="0"/>
        <v>2027</v>
      </c>
      <c r="W2" s="3">
        <f t="shared" si="0"/>
        <v>2028</v>
      </c>
      <c r="X2" s="3">
        <f t="shared" si="0"/>
        <v>2029</v>
      </c>
      <c r="Y2" s="3">
        <f t="shared" si="0"/>
        <v>2030</v>
      </c>
      <c r="Z2" s="3">
        <f t="shared" si="0"/>
        <v>2031</v>
      </c>
    </row>
    <row r="3" spans="1:29" x14ac:dyDescent="0.25">
      <c r="A3" s="1" t="s">
        <v>74</v>
      </c>
      <c r="B3" s="2"/>
      <c r="C3" s="2"/>
      <c r="D3" s="2">
        <v>5811</v>
      </c>
      <c r="E3" s="2"/>
      <c r="F3" s="2">
        <v>5591</v>
      </c>
      <c r="G3" s="2">
        <v>6294</v>
      </c>
      <c r="H3" s="2">
        <v>6265</v>
      </c>
      <c r="I3" s="2">
        <f>+R3-H3-G3-F3</f>
        <v>8158</v>
      </c>
      <c r="J3" s="2">
        <v>5899</v>
      </c>
      <c r="K3" s="2">
        <v>6739</v>
      </c>
      <c r="L3" s="2"/>
      <c r="M3" s="2"/>
      <c r="P3" s="2"/>
      <c r="Q3" s="2">
        <v>25037</v>
      </c>
      <c r="R3" s="2">
        <v>26308</v>
      </c>
      <c r="S3" s="2"/>
      <c r="T3" s="2"/>
      <c r="U3" s="2"/>
      <c r="V3" s="2"/>
      <c r="W3" s="2"/>
      <c r="X3" s="2"/>
      <c r="Y3" s="2"/>
      <c r="Z3" s="2"/>
      <c r="AB3" s="1" t="s">
        <v>83</v>
      </c>
      <c r="AC3" s="7">
        <v>0.08</v>
      </c>
    </row>
    <row r="4" spans="1:29" x14ac:dyDescent="0.25">
      <c r="A4" s="1" t="s">
        <v>75</v>
      </c>
      <c r="B4" s="2"/>
      <c r="C4" s="2"/>
      <c r="D4" s="2">
        <v>4700</v>
      </c>
      <c r="E4" s="2"/>
      <c r="F4" s="2">
        <v>5197</v>
      </c>
      <c r="G4" s="2">
        <v>5226</v>
      </c>
      <c r="H4" s="2">
        <v>4963</v>
      </c>
      <c r="I4" s="2">
        <f t="shared" ref="I4:I6" si="1">+R4-H4-G4-F4</f>
        <v>4599</v>
      </c>
      <c r="J4" s="2">
        <v>5186</v>
      </c>
      <c r="K4" s="2">
        <v>5179</v>
      </c>
      <c r="L4" s="2"/>
      <c r="M4" s="2"/>
      <c r="P4" s="2"/>
      <c r="Q4" s="2">
        <v>19107</v>
      </c>
      <c r="R4" s="2">
        <v>19985</v>
      </c>
      <c r="S4" s="2"/>
      <c r="T4" s="2"/>
      <c r="U4" s="2"/>
      <c r="V4" s="2"/>
      <c r="W4" s="2"/>
      <c r="X4" s="2"/>
      <c r="Y4" s="2"/>
      <c r="Z4" s="2"/>
      <c r="AB4" s="1" t="s">
        <v>84</v>
      </c>
      <c r="AC4" s="6">
        <v>0.02</v>
      </c>
    </row>
    <row r="5" spans="1:29" x14ac:dyDescent="0.25">
      <c r="A5" s="1" t="s">
        <v>76</v>
      </c>
      <c r="B5" s="2"/>
      <c r="C5" s="2"/>
      <c r="D5" s="2">
        <v>3352</v>
      </c>
      <c r="E5" s="2"/>
      <c r="F5" s="2">
        <v>3098</v>
      </c>
      <c r="G5" s="2">
        <v>3618</v>
      </c>
      <c r="H5" s="2">
        <v>3272</v>
      </c>
      <c r="I5" s="2">
        <f t="shared" si="1"/>
        <v>4605</v>
      </c>
      <c r="J5" s="2">
        <v>3076</v>
      </c>
      <c r="K5" s="2">
        <v>3645</v>
      </c>
      <c r="L5" s="2"/>
      <c r="M5" s="2"/>
      <c r="P5" s="2"/>
      <c r="Q5" s="2">
        <v>15288</v>
      </c>
      <c r="R5" s="2">
        <v>14593</v>
      </c>
      <c r="S5" s="2"/>
      <c r="T5" s="2"/>
      <c r="U5" s="2"/>
      <c r="V5" s="2"/>
      <c r="W5" s="2"/>
      <c r="X5" s="2"/>
      <c r="Y5" s="2"/>
      <c r="Z5" s="2"/>
      <c r="AB5" s="1" t="s">
        <v>85</v>
      </c>
      <c r="AC5" s="11">
        <v>0.05</v>
      </c>
    </row>
    <row r="6" spans="1:29" x14ac:dyDescent="0.25">
      <c r="A6" s="1" t="s">
        <v>77</v>
      </c>
      <c r="B6" s="2"/>
      <c r="C6" s="2"/>
      <c r="D6" s="2">
        <v>70</v>
      </c>
      <c r="E6" s="2"/>
      <c r="F6" s="2">
        <v>169</v>
      </c>
      <c r="G6" s="2">
        <v>152</v>
      </c>
      <c r="H6" s="2">
        <v>67</v>
      </c>
      <c r="I6" s="2">
        <f t="shared" si="1"/>
        <v>-155</v>
      </c>
      <c r="J6" s="2">
        <v>108</v>
      </c>
      <c r="K6" s="2">
        <v>38</v>
      </c>
      <c r="L6" s="2"/>
      <c r="M6" s="2"/>
      <c r="P6" s="2"/>
      <c r="Q6" s="2">
        <v>453</v>
      </c>
      <c r="R6" s="2">
        <v>233</v>
      </c>
      <c r="S6" s="2"/>
      <c r="T6" s="2"/>
      <c r="U6" s="2"/>
      <c r="V6" s="2"/>
      <c r="W6" s="2"/>
      <c r="X6" s="2"/>
      <c r="Y6" s="2"/>
      <c r="Z6" s="2"/>
      <c r="AB6" s="1" t="s">
        <v>86</v>
      </c>
      <c r="AC6" s="10">
        <f>+NPV(AC3,S30:BM30)+K86</f>
        <v>229658.62598018075</v>
      </c>
    </row>
    <row r="7" spans="1:29" x14ac:dyDescent="0.25">
      <c r="B7" s="3"/>
      <c r="C7" s="3"/>
      <c r="D7" s="3"/>
      <c r="E7" s="3"/>
      <c r="F7" s="3"/>
      <c r="G7" s="3"/>
      <c r="H7" s="3"/>
      <c r="I7" s="3"/>
      <c r="J7" s="3"/>
      <c r="K7" s="3"/>
      <c r="L7" s="3"/>
      <c r="M7" s="3"/>
      <c r="P7" s="3"/>
      <c r="Q7" s="3"/>
      <c r="R7" s="3"/>
      <c r="S7" s="3"/>
      <c r="T7" s="3"/>
      <c r="U7" s="3"/>
      <c r="V7" s="3"/>
      <c r="W7" s="3"/>
      <c r="X7" s="3"/>
      <c r="Y7" s="3"/>
      <c r="Z7" s="3"/>
      <c r="AB7" s="1" t="s">
        <v>87</v>
      </c>
      <c r="AC7" s="5">
        <f>+AC6/main!L4</f>
        <v>249.31778320445034</v>
      </c>
    </row>
    <row r="8" spans="1:29" x14ac:dyDescent="0.25">
      <c r="A8" s="1" t="s">
        <v>19</v>
      </c>
      <c r="B8" s="2"/>
      <c r="C8" s="2"/>
      <c r="D8" s="2">
        <v>7365</v>
      </c>
      <c r="E8" s="2"/>
      <c r="F8" s="2">
        <v>7524</v>
      </c>
      <c r="G8" s="2">
        <v>7553</v>
      </c>
      <c r="H8" s="2">
        <v>7541</v>
      </c>
      <c r="I8" s="2">
        <f t="shared" ref="I8:I10" si="2">+R8-H8-G8-F8</f>
        <v>7760</v>
      </c>
      <c r="J8" s="2">
        <v>7470</v>
      </c>
      <c r="K8" s="2">
        <v>7405</v>
      </c>
      <c r="L8" s="2"/>
      <c r="M8" s="2"/>
      <c r="P8" s="2">
        <v>29225</v>
      </c>
      <c r="Q8" s="2">
        <v>30206</v>
      </c>
      <c r="R8" s="2">
        <v>30378</v>
      </c>
      <c r="S8" s="2">
        <f t="shared" ref="S8" si="3">+R8*1.05</f>
        <v>31896.9</v>
      </c>
      <c r="T8" s="2">
        <f>+S8*1.05</f>
        <v>33491.745000000003</v>
      </c>
      <c r="U8" s="2">
        <f t="shared" ref="U8:Z8" si="4">+T8*1.05</f>
        <v>35166.332250000007</v>
      </c>
      <c r="V8" s="2">
        <f t="shared" si="4"/>
        <v>36924.648862500006</v>
      </c>
      <c r="W8" s="2">
        <f t="shared" si="4"/>
        <v>38770.881305625007</v>
      </c>
      <c r="X8" s="2">
        <f t="shared" si="4"/>
        <v>40709.425370906261</v>
      </c>
      <c r="Y8" s="2">
        <f t="shared" si="4"/>
        <v>42744.896639451574</v>
      </c>
      <c r="Z8" s="2">
        <f t="shared" si="4"/>
        <v>44882.141471424155</v>
      </c>
    </row>
    <row r="9" spans="1:29" x14ac:dyDescent="0.25">
      <c r="A9" s="1" t="s">
        <v>20</v>
      </c>
      <c r="B9" s="2"/>
      <c r="C9" s="2"/>
      <c r="D9" s="2">
        <v>6565</v>
      </c>
      <c r="E9" s="2"/>
      <c r="F9" s="2">
        <v>6532</v>
      </c>
      <c r="G9" s="2">
        <v>7739</v>
      </c>
      <c r="H9" s="2">
        <v>7025</v>
      </c>
      <c r="I9" s="2">
        <f t="shared" si="2"/>
        <v>9449</v>
      </c>
      <c r="J9" s="2">
        <v>6799</v>
      </c>
      <c r="K9" s="2">
        <v>8195</v>
      </c>
      <c r="L9" s="2"/>
      <c r="M9" s="2"/>
      <c r="P9" s="2">
        <v>27346</v>
      </c>
      <c r="Q9" s="2">
        <v>29673</v>
      </c>
      <c r="R9" s="2">
        <v>30745</v>
      </c>
      <c r="S9" s="2">
        <f>+R9*1.05</f>
        <v>32282.25</v>
      </c>
      <c r="T9" s="2">
        <f t="shared" ref="T9" si="5">+S9*1.05</f>
        <v>33896.362500000003</v>
      </c>
      <c r="U9" s="2">
        <f>+T9*1.04</f>
        <v>35252.217000000004</v>
      </c>
      <c r="V9" s="2">
        <f t="shared" ref="V9:Z9" si="6">+U9*1.04</f>
        <v>36662.305680000005</v>
      </c>
      <c r="W9" s="2">
        <f t="shared" si="6"/>
        <v>38128.797907200009</v>
      </c>
      <c r="X9" s="2">
        <f t="shared" si="6"/>
        <v>39653.949823488008</v>
      </c>
      <c r="Y9" s="2">
        <f t="shared" si="6"/>
        <v>41240.107816427531</v>
      </c>
      <c r="Z9" s="2">
        <f t="shared" si="6"/>
        <v>42889.712129084633</v>
      </c>
    </row>
    <row r="10" spans="1:29" x14ac:dyDescent="0.25">
      <c r="A10" s="1" t="s">
        <v>21</v>
      </c>
      <c r="B10" s="2"/>
      <c r="C10" s="2"/>
      <c r="D10" s="2">
        <v>176</v>
      </c>
      <c r="E10" s="2"/>
      <c r="F10" s="2">
        <v>196</v>
      </c>
      <c r="G10" s="2">
        <v>183</v>
      </c>
      <c r="H10" s="2">
        <v>186</v>
      </c>
      <c r="I10" s="2">
        <f t="shared" si="2"/>
        <v>172</v>
      </c>
      <c r="J10" s="2">
        <v>192</v>
      </c>
      <c r="K10" s="2">
        <v>169</v>
      </c>
      <c r="L10" s="2"/>
      <c r="M10" s="2"/>
      <c r="P10" s="2">
        <v>780</v>
      </c>
      <c r="Q10" s="2">
        <v>651</v>
      </c>
      <c r="R10" s="2">
        <v>737</v>
      </c>
      <c r="S10" s="2">
        <f>+R10*1</f>
        <v>737</v>
      </c>
      <c r="T10" s="2">
        <f t="shared" ref="T10:Z10" si="7">+S10*1</f>
        <v>737</v>
      </c>
      <c r="U10" s="2">
        <f t="shared" si="7"/>
        <v>737</v>
      </c>
      <c r="V10" s="2">
        <f t="shared" si="7"/>
        <v>737</v>
      </c>
      <c r="W10" s="2">
        <f t="shared" si="7"/>
        <v>737</v>
      </c>
      <c r="X10" s="2">
        <f t="shared" si="7"/>
        <v>737</v>
      </c>
      <c r="Y10" s="2">
        <f t="shared" si="7"/>
        <v>737</v>
      </c>
      <c r="Z10" s="2">
        <f t="shared" si="7"/>
        <v>737</v>
      </c>
    </row>
    <row r="11" spans="1:29" x14ac:dyDescent="0.25">
      <c r="B11" s="2"/>
      <c r="C11" s="2"/>
      <c r="D11" s="2"/>
      <c r="E11" s="2"/>
      <c r="F11" s="2"/>
      <c r="G11" s="2"/>
      <c r="H11" s="2"/>
      <c r="I11" s="2"/>
      <c r="J11" s="2"/>
      <c r="K11" s="2"/>
      <c r="L11" s="2"/>
      <c r="M11" s="2"/>
      <c r="P11" s="2"/>
      <c r="Q11" s="2"/>
      <c r="R11" s="2"/>
      <c r="S11" s="2"/>
      <c r="T11" s="2"/>
      <c r="U11" s="2"/>
      <c r="V11" s="2"/>
      <c r="W11" s="2"/>
      <c r="X11" s="2"/>
      <c r="Y11" s="2"/>
      <c r="Z11" s="2"/>
    </row>
    <row r="12" spans="1:29" x14ac:dyDescent="0.25">
      <c r="A12" s="1" t="s">
        <v>78</v>
      </c>
      <c r="B12" s="2"/>
      <c r="C12" s="2"/>
      <c r="D12" s="2">
        <v>7416</v>
      </c>
      <c r="E12" s="2"/>
      <c r="F12" s="2">
        <v>7078</v>
      </c>
      <c r="G12" s="2">
        <v>8046</v>
      </c>
      <c r="H12" s="2">
        <v>7686</v>
      </c>
      <c r="I12" s="2">
        <f>+R12-H12-G12-F12</f>
        <v>8856</v>
      </c>
      <c r="J12" s="2">
        <v>7296</v>
      </c>
      <c r="K12" s="2">
        <v>7979</v>
      </c>
      <c r="L12" s="2"/>
      <c r="M12" s="2"/>
      <c r="P12" s="2"/>
      <c r="Q12" s="2">
        <v>31057</v>
      </c>
      <c r="R12" s="2">
        <v>31666</v>
      </c>
      <c r="S12" s="2"/>
      <c r="T12" s="2"/>
      <c r="U12" s="2"/>
      <c r="V12" s="2"/>
      <c r="W12" s="2"/>
      <c r="X12" s="2"/>
      <c r="Y12" s="2"/>
      <c r="Z12" s="2"/>
    </row>
    <row r="13" spans="1:29" x14ac:dyDescent="0.25">
      <c r="A13" s="1" t="s">
        <v>79</v>
      </c>
      <c r="B13" s="2"/>
      <c r="C13" s="2"/>
      <c r="D13" s="2">
        <v>3959</v>
      </c>
      <c r="E13" s="2"/>
      <c r="F13" s="2">
        <v>7331</v>
      </c>
      <c r="G13" s="2">
        <v>4602</v>
      </c>
      <c r="H13" s="2">
        <v>4223</v>
      </c>
      <c r="I13" s="2">
        <f t="shared" ref="I13:I14" si="8">+R13-H13-G13-F13</f>
        <v>2336</v>
      </c>
      <c r="J13" s="2">
        <v>4313</v>
      </c>
      <c r="K13" s="2">
        <v>4722</v>
      </c>
      <c r="L13" s="2"/>
      <c r="M13" s="2"/>
      <c r="P13" s="2"/>
      <c r="Q13" s="2">
        <v>17950</v>
      </c>
      <c r="R13" s="2">
        <v>18492</v>
      </c>
      <c r="S13" s="2"/>
      <c r="T13" s="2"/>
      <c r="U13" s="2"/>
      <c r="V13" s="2"/>
      <c r="W13" s="2"/>
      <c r="X13" s="2"/>
      <c r="Y13" s="2"/>
      <c r="Z13" s="2"/>
    </row>
    <row r="14" spans="1:29" x14ac:dyDescent="0.25">
      <c r="A14" s="1" t="s">
        <v>80</v>
      </c>
      <c r="B14" s="2"/>
      <c r="C14" s="2"/>
      <c r="D14" s="2">
        <v>2732</v>
      </c>
      <c r="E14" s="2"/>
      <c r="F14" s="2">
        <v>2843</v>
      </c>
      <c r="G14" s="2">
        <v>2827</v>
      </c>
      <c r="H14" s="2">
        <v>2843</v>
      </c>
      <c r="I14" s="2">
        <f t="shared" si="8"/>
        <v>3189</v>
      </c>
      <c r="J14" s="2">
        <v>2853</v>
      </c>
      <c r="K14" s="2">
        <v>3069</v>
      </c>
      <c r="L14" s="2"/>
      <c r="M14" s="2"/>
      <c r="P14" s="2"/>
      <c r="Q14" s="2">
        <v>11522</v>
      </c>
      <c r="R14" s="2">
        <v>11702</v>
      </c>
      <c r="S14" s="2"/>
      <c r="T14" s="2"/>
      <c r="U14" s="2"/>
      <c r="V14" s="2"/>
      <c r="W14" s="2"/>
      <c r="X14" s="2"/>
      <c r="Y14" s="2"/>
      <c r="Z14" s="2"/>
    </row>
    <row r="15" spans="1:29" x14ac:dyDescent="0.25">
      <c r="B15" s="2"/>
      <c r="C15" s="2"/>
      <c r="D15" s="2"/>
      <c r="E15" s="2"/>
      <c r="F15" s="2"/>
      <c r="G15" s="2"/>
      <c r="H15" s="2"/>
      <c r="I15" s="2"/>
      <c r="J15" s="2"/>
      <c r="K15" s="2"/>
      <c r="L15" s="2"/>
      <c r="M15" s="2"/>
      <c r="P15" s="2"/>
      <c r="Q15" s="2"/>
      <c r="R15" s="2"/>
      <c r="S15" s="2"/>
      <c r="T15" s="2"/>
      <c r="U15" s="2"/>
      <c r="V15" s="2"/>
      <c r="W15" s="2"/>
      <c r="X15" s="2"/>
      <c r="Y15" s="2"/>
      <c r="Z15" s="2"/>
    </row>
    <row r="16" spans="1:29" s="3" customFormat="1" x14ac:dyDescent="0.25">
      <c r="A16" s="3" t="s">
        <v>22</v>
      </c>
      <c r="B16" s="4">
        <f t="shared" ref="B16:J16" si="9">+SUM(B8:B10)</f>
        <v>0</v>
      </c>
      <c r="C16" s="4">
        <f t="shared" si="9"/>
        <v>0</v>
      </c>
      <c r="D16" s="4">
        <f t="shared" si="9"/>
        <v>14106</v>
      </c>
      <c r="E16" s="4">
        <f t="shared" si="9"/>
        <v>0</v>
      </c>
      <c r="F16" s="4">
        <f t="shared" si="9"/>
        <v>14252</v>
      </c>
      <c r="G16" s="4">
        <f t="shared" si="9"/>
        <v>15475</v>
      </c>
      <c r="H16" s="4">
        <f t="shared" si="9"/>
        <v>14752</v>
      </c>
      <c r="I16" s="4">
        <f t="shared" si="9"/>
        <v>17381</v>
      </c>
      <c r="J16" s="4">
        <f t="shared" si="9"/>
        <v>14461</v>
      </c>
      <c r="K16" s="4">
        <f>+SUM(K8:K10)</f>
        <v>15769</v>
      </c>
      <c r="L16" s="4"/>
      <c r="M16" s="4"/>
      <c r="P16" s="4">
        <f t="shared" ref="P16:Z16" si="10">+SUM(P8:P10)</f>
        <v>57351</v>
      </c>
      <c r="Q16" s="4">
        <f t="shared" si="10"/>
        <v>60530</v>
      </c>
      <c r="R16" s="4">
        <f t="shared" si="10"/>
        <v>61860</v>
      </c>
      <c r="S16" s="4">
        <f t="shared" si="10"/>
        <v>64916.15</v>
      </c>
      <c r="T16" s="4">
        <f t="shared" si="10"/>
        <v>68125.107500000013</v>
      </c>
      <c r="U16" s="4">
        <f t="shared" si="10"/>
        <v>71155.549250000011</v>
      </c>
      <c r="V16" s="4">
        <f t="shared" si="10"/>
        <v>74323.954542500011</v>
      </c>
      <c r="W16" s="4">
        <f t="shared" si="10"/>
        <v>77636.679212825024</v>
      </c>
      <c r="X16" s="4">
        <f t="shared" si="10"/>
        <v>81100.375194394263</v>
      </c>
      <c r="Y16" s="4">
        <f t="shared" si="10"/>
        <v>84722.004455879098</v>
      </c>
      <c r="Z16" s="4">
        <f t="shared" si="10"/>
        <v>88508.853600508795</v>
      </c>
    </row>
    <row r="17" spans="1:65" x14ac:dyDescent="0.25">
      <c r="A17" s="1" t="s">
        <v>23</v>
      </c>
      <c r="B17" s="2"/>
      <c r="C17" s="2"/>
      <c r="D17" s="2">
        <v>5168</v>
      </c>
      <c r="E17" s="2"/>
      <c r="F17" s="2">
        <v>5310</v>
      </c>
      <c r="G17" s="2">
        <v>5294</v>
      </c>
      <c r="H17" s="2">
        <v>5217</v>
      </c>
      <c r="I17" s="2">
        <f t="shared" ref="I17:I19" si="11">+R17-H17-G17-F17</f>
        <v>5230</v>
      </c>
      <c r="J17" s="2">
        <v>5239</v>
      </c>
      <c r="K17" s="2">
        <v>5126</v>
      </c>
      <c r="L17" s="2"/>
      <c r="M17" s="2"/>
      <c r="P17" s="2">
        <v>19147</v>
      </c>
      <c r="Q17" s="2">
        <v>21062</v>
      </c>
      <c r="R17" s="2">
        <v>21051</v>
      </c>
      <c r="S17" s="2">
        <f>+S8*0.7</f>
        <v>22327.829999999998</v>
      </c>
      <c r="T17" s="2">
        <f t="shared" ref="T17:Z17" si="12">+T8*0.7</f>
        <v>23444.2215</v>
      </c>
      <c r="U17" s="2">
        <f t="shared" si="12"/>
        <v>24616.432575000003</v>
      </c>
      <c r="V17" s="2">
        <f t="shared" si="12"/>
        <v>25847.254203750002</v>
      </c>
      <c r="W17" s="2">
        <f t="shared" si="12"/>
        <v>27139.616913937505</v>
      </c>
      <c r="X17" s="2">
        <f t="shared" si="12"/>
        <v>28496.59775963438</v>
      </c>
      <c r="Y17" s="2">
        <f t="shared" si="12"/>
        <v>29921.427647616099</v>
      </c>
      <c r="Z17" s="2">
        <f t="shared" si="12"/>
        <v>31417.499029996907</v>
      </c>
    </row>
    <row r="18" spans="1:65" x14ac:dyDescent="0.25">
      <c r="A18" s="1" t="s">
        <v>24</v>
      </c>
      <c r="B18" s="2"/>
      <c r="C18" s="2"/>
      <c r="D18" s="2">
        <v>1389</v>
      </c>
      <c r="E18" s="2"/>
      <c r="F18" s="2">
        <v>1322</v>
      </c>
      <c r="G18" s="2">
        <v>1587</v>
      </c>
      <c r="H18" s="2">
        <v>1419</v>
      </c>
      <c r="I18" s="2">
        <f t="shared" si="11"/>
        <v>1799</v>
      </c>
      <c r="J18" s="2">
        <v>1381</v>
      </c>
      <c r="K18" s="2">
        <v>1607</v>
      </c>
      <c r="L18" s="2"/>
      <c r="M18" s="2"/>
      <c r="P18" s="2">
        <v>6184</v>
      </c>
      <c r="Q18" s="2">
        <v>6374</v>
      </c>
      <c r="R18" s="2">
        <v>6127</v>
      </c>
      <c r="S18" s="2">
        <f>+S9*0.2</f>
        <v>6456.4500000000007</v>
      </c>
      <c r="T18" s="2">
        <f t="shared" ref="T18:Z18" si="13">+T9*0.2</f>
        <v>6779.2725000000009</v>
      </c>
      <c r="U18" s="2">
        <f t="shared" si="13"/>
        <v>7050.443400000001</v>
      </c>
      <c r="V18" s="2">
        <f t="shared" si="13"/>
        <v>7332.4611360000017</v>
      </c>
      <c r="W18" s="2">
        <f t="shared" si="13"/>
        <v>7625.759581440002</v>
      </c>
      <c r="X18" s="2">
        <f t="shared" si="13"/>
        <v>7930.789964697602</v>
      </c>
      <c r="Y18" s="2">
        <f t="shared" si="13"/>
        <v>8248.021563285507</v>
      </c>
      <c r="Z18" s="2">
        <f t="shared" si="13"/>
        <v>8577.9424258169274</v>
      </c>
    </row>
    <row r="19" spans="1:65" x14ac:dyDescent="0.25">
      <c r="A19" s="1" t="s">
        <v>25</v>
      </c>
      <c r="B19" s="2"/>
      <c r="C19" s="2"/>
      <c r="D19" s="2">
        <v>120</v>
      </c>
      <c r="E19" s="2"/>
      <c r="F19" s="2">
        <v>110</v>
      </c>
      <c r="G19" s="2">
        <v>93</v>
      </c>
      <c r="H19" s="2">
        <v>94</v>
      </c>
      <c r="I19" s="2">
        <f t="shared" si="11"/>
        <v>85</v>
      </c>
      <c r="J19" s="2">
        <v>99</v>
      </c>
      <c r="K19" s="2">
        <v>86</v>
      </c>
      <c r="L19" s="2"/>
      <c r="M19" s="2"/>
      <c r="P19" s="2">
        <v>534</v>
      </c>
      <c r="Q19" s="2">
        <v>406</v>
      </c>
      <c r="R19" s="2">
        <v>382</v>
      </c>
      <c r="S19" s="2">
        <f>+S10*0.55</f>
        <v>405.35</v>
      </c>
      <c r="T19" s="2">
        <f t="shared" ref="T19:Z19" si="14">+T10*0.55</f>
        <v>405.35</v>
      </c>
      <c r="U19" s="2">
        <f t="shared" si="14"/>
        <v>405.35</v>
      </c>
      <c r="V19" s="2">
        <f t="shared" si="14"/>
        <v>405.35</v>
      </c>
      <c r="W19" s="2">
        <f t="shared" si="14"/>
        <v>405.35</v>
      </c>
      <c r="X19" s="2">
        <f t="shared" si="14"/>
        <v>405.35</v>
      </c>
      <c r="Y19" s="2">
        <f t="shared" si="14"/>
        <v>405.35</v>
      </c>
      <c r="Z19" s="2">
        <f t="shared" si="14"/>
        <v>405.35</v>
      </c>
    </row>
    <row r="20" spans="1:65" x14ac:dyDescent="0.25">
      <c r="A20" s="1" t="s">
        <v>26</v>
      </c>
      <c r="B20" s="2">
        <f t="shared" ref="B20:J20" si="15">+B17+B18+B19</f>
        <v>0</v>
      </c>
      <c r="C20" s="2">
        <f t="shared" si="15"/>
        <v>0</v>
      </c>
      <c r="D20" s="2">
        <f>+D17+D18+D19</f>
        <v>6677</v>
      </c>
      <c r="E20" s="2">
        <f t="shared" si="15"/>
        <v>0</v>
      </c>
      <c r="F20" s="2">
        <f t="shared" si="15"/>
        <v>6742</v>
      </c>
      <c r="G20" s="2">
        <f t="shared" si="15"/>
        <v>6974</v>
      </c>
      <c r="H20" s="2">
        <f t="shared" si="15"/>
        <v>6730</v>
      </c>
      <c r="I20" s="2">
        <f t="shared" si="15"/>
        <v>7114</v>
      </c>
      <c r="J20" s="2">
        <f t="shared" si="15"/>
        <v>6719</v>
      </c>
      <c r="K20" s="2">
        <f>+K17+K18+K19</f>
        <v>6819</v>
      </c>
      <c r="L20" s="2"/>
      <c r="M20" s="2"/>
      <c r="P20" s="2">
        <f t="shared" ref="P20:Z20" si="16">+P17+P18+P19</f>
        <v>25865</v>
      </c>
      <c r="Q20" s="2">
        <f t="shared" si="16"/>
        <v>27842</v>
      </c>
      <c r="R20" s="2">
        <f t="shared" si="16"/>
        <v>27560</v>
      </c>
      <c r="S20" s="2">
        <f t="shared" si="16"/>
        <v>29189.629999999997</v>
      </c>
      <c r="T20" s="2">
        <f t="shared" si="16"/>
        <v>30628.843999999997</v>
      </c>
      <c r="U20" s="2">
        <f>+U16*0.45</f>
        <v>32019.997162500007</v>
      </c>
      <c r="V20" s="2">
        <f t="shared" ref="V20:Z20" si="17">+V16*0.45</f>
        <v>33445.779544125005</v>
      </c>
      <c r="W20" s="2">
        <f t="shared" si="17"/>
        <v>34936.505645771264</v>
      </c>
      <c r="X20" s="2">
        <f t="shared" si="17"/>
        <v>36495.168837477417</v>
      </c>
      <c r="Y20" s="2">
        <f t="shared" si="17"/>
        <v>38124.902005145595</v>
      </c>
      <c r="Z20" s="2">
        <f t="shared" si="17"/>
        <v>39828.984120228961</v>
      </c>
    </row>
    <row r="21" spans="1:65" x14ac:dyDescent="0.25">
      <c r="A21" s="1" t="s">
        <v>27</v>
      </c>
      <c r="B21" s="2">
        <f t="shared" ref="B21:J21" si="18">+B16-B20</f>
        <v>0</v>
      </c>
      <c r="C21" s="2">
        <f t="shared" si="18"/>
        <v>0</v>
      </c>
      <c r="D21" s="2">
        <f t="shared" si="18"/>
        <v>7429</v>
      </c>
      <c r="E21" s="2">
        <f t="shared" si="18"/>
        <v>0</v>
      </c>
      <c r="F21" s="2">
        <f t="shared" si="18"/>
        <v>7510</v>
      </c>
      <c r="G21" s="2">
        <f t="shared" si="18"/>
        <v>8501</v>
      </c>
      <c r="H21" s="2">
        <f t="shared" si="18"/>
        <v>8022</v>
      </c>
      <c r="I21" s="2">
        <f t="shared" si="18"/>
        <v>10267</v>
      </c>
      <c r="J21" s="2">
        <f t="shared" si="18"/>
        <v>7742</v>
      </c>
      <c r="K21" s="2">
        <f>+K16-K20</f>
        <v>8950</v>
      </c>
      <c r="L21" s="2"/>
      <c r="M21" s="2"/>
      <c r="P21" s="2">
        <f t="shared" ref="P21:Z21" si="19">+P16-P20</f>
        <v>31486</v>
      </c>
      <c r="Q21" s="2">
        <f t="shared" si="19"/>
        <v>32688</v>
      </c>
      <c r="R21" s="2">
        <f t="shared" si="19"/>
        <v>34300</v>
      </c>
      <c r="S21" s="2">
        <f t="shared" si="19"/>
        <v>35726.520000000004</v>
      </c>
      <c r="T21" s="2">
        <f t="shared" si="19"/>
        <v>37496.263500000015</v>
      </c>
      <c r="U21" s="2">
        <f t="shared" si="19"/>
        <v>39135.552087500007</v>
      </c>
      <c r="V21" s="2">
        <f t="shared" si="19"/>
        <v>40878.174998375005</v>
      </c>
      <c r="W21" s="2">
        <f t="shared" si="19"/>
        <v>42700.17356705376</v>
      </c>
      <c r="X21" s="2">
        <f t="shared" si="19"/>
        <v>44605.206356916846</v>
      </c>
      <c r="Y21" s="2">
        <f t="shared" si="19"/>
        <v>46597.102450733502</v>
      </c>
      <c r="Z21" s="2">
        <f t="shared" si="19"/>
        <v>48679.869480279835</v>
      </c>
    </row>
    <row r="22" spans="1:65" x14ac:dyDescent="0.25">
      <c r="A22" s="1" t="s">
        <v>28</v>
      </c>
      <c r="B22" s="2"/>
      <c r="C22" s="2"/>
      <c r="D22" s="2">
        <v>4391</v>
      </c>
      <c r="E22" s="2"/>
      <c r="F22" s="2">
        <v>4853</v>
      </c>
      <c r="G22" s="2">
        <v>4900</v>
      </c>
      <c r="H22" s="2">
        <v>4458</v>
      </c>
      <c r="I22" s="2">
        <f t="shared" ref="I22:I25" si="20">+R22-H22-G22-F22</f>
        <v>4792</v>
      </c>
      <c r="J22" s="2">
        <v>4974</v>
      </c>
      <c r="K22" s="2">
        <v>4938</v>
      </c>
      <c r="L22" s="2"/>
      <c r="M22" s="2"/>
      <c r="P22" s="2">
        <v>18745</v>
      </c>
      <c r="Q22" s="2">
        <v>18609</v>
      </c>
      <c r="R22" s="2">
        <v>19003</v>
      </c>
      <c r="S22" s="2">
        <f>+S16*0.307</f>
        <v>19929.25805</v>
      </c>
      <c r="T22" s="2">
        <f>+S22*0.8</f>
        <v>15943.406440000001</v>
      </c>
      <c r="U22" s="2">
        <f t="shared" ref="U22:Z22" si="21">+T22*1.02</f>
        <v>16262.274568800001</v>
      </c>
      <c r="V22" s="2">
        <f t="shared" si="21"/>
        <v>16587.520060176001</v>
      </c>
      <c r="W22" s="2">
        <f t="shared" si="21"/>
        <v>16919.270461379521</v>
      </c>
      <c r="X22" s="2">
        <f t="shared" si="21"/>
        <v>17257.655870607112</v>
      </c>
      <c r="Y22" s="2">
        <f t="shared" si="21"/>
        <v>17602.808988019253</v>
      </c>
      <c r="Z22" s="2">
        <f t="shared" si="21"/>
        <v>17954.865167779637</v>
      </c>
    </row>
    <row r="23" spans="1:65" x14ac:dyDescent="0.25">
      <c r="A23" s="1" t="s">
        <v>29</v>
      </c>
      <c r="B23" s="2"/>
      <c r="C23" s="2"/>
      <c r="D23" s="2">
        <v>1611</v>
      </c>
      <c r="E23" s="2"/>
      <c r="F23" s="2">
        <v>1655</v>
      </c>
      <c r="G23" s="2">
        <v>1687</v>
      </c>
      <c r="H23" s="2">
        <v>1685</v>
      </c>
      <c r="I23" s="2">
        <f t="shared" si="20"/>
        <v>1748</v>
      </c>
      <c r="J23" s="2">
        <v>1796</v>
      </c>
      <c r="K23" s="2">
        <v>1840</v>
      </c>
      <c r="L23" s="2"/>
      <c r="M23" s="2"/>
      <c r="P23" s="2">
        <v>6488</v>
      </c>
      <c r="Q23" s="2">
        <v>6567</v>
      </c>
      <c r="R23" s="2">
        <v>6775</v>
      </c>
      <c r="S23" s="2">
        <f>+S16*0.11</f>
        <v>7140.7764999999999</v>
      </c>
      <c r="T23" s="2">
        <f>+S23*1.02</f>
        <v>7283.5920299999998</v>
      </c>
      <c r="U23" s="2">
        <f t="shared" ref="U23:Z23" si="22">+T23*1.02</f>
        <v>7429.2638705999998</v>
      </c>
      <c r="V23" s="2">
        <f t="shared" si="22"/>
        <v>7577.8491480120001</v>
      </c>
      <c r="W23" s="2">
        <f t="shared" si="22"/>
        <v>7729.4061309722401</v>
      </c>
      <c r="X23" s="2">
        <f t="shared" si="22"/>
        <v>7883.9942535916853</v>
      </c>
      <c r="Y23" s="2">
        <f t="shared" si="22"/>
        <v>8041.6741386635194</v>
      </c>
      <c r="Z23" s="2">
        <f t="shared" si="22"/>
        <v>8202.5076214367891</v>
      </c>
    </row>
    <row r="24" spans="1:65" x14ac:dyDescent="0.25">
      <c r="A24" s="1" t="s">
        <v>38</v>
      </c>
      <c r="B24" s="2"/>
      <c r="C24" s="2"/>
      <c r="D24" s="2">
        <v>121</v>
      </c>
      <c r="E24" s="2"/>
      <c r="F24" s="2">
        <v>180</v>
      </c>
      <c r="G24" s="2">
        <v>248</v>
      </c>
      <c r="H24" s="2">
        <v>190</v>
      </c>
      <c r="I24" s="2">
        <f t="shared" si="20"/>
        <v>242</v>
      </c>
      <c r="J24" s="2">
        <v>216</v>
      </c>
      <c r="K24" s="2">
        <v>241</v>
      </c>
      <c r="L24" s="2"/>
      <c r="M24" s="2"/>
      <c r="P24" s="2">
        <v>612</v>
      </c>
      <c r="Q24" s="2">
        <v>663</v>
      </c>
      <c r="R24" s="2">
        <v>860</v>
      </c>
      <c r="S24" s="2">
        <f>+R24*1.12</f>
        <v>963.2</v>
      </c>
      <c r="T24" s="2">
        <f t="shared" ref="T22:U24" si="23">+S24*1.12</f>
        <v>1078.7840000000001</v>
      </c>
      <c r="U24" s="2">
        <f t="shared" si="23"/>
        <v>1208.2380800000003</v>
      </c>
      <c r="V24" s="2">
        <f>+U24*1.1</f>
        <v>1329.0618880000004</v>
      </c>
      <c r="W24" s="2">
        <f t="shared" ref="W24:Z24" si="24">+V24*1.1</f>
        <v>1461.9680768000005</v>
      </c>
      <c r="X24" s="2">
        <f t="shared" si="24"/>
        <v>1608.1648844800006</v>
      </c>
      <c r="Y24" s="2">
        <f t="shared" si="24"/>
        <v>1768.9813729280008</v>
      </c>
      <c r="Z24" s="2">
        <f t="shared" si="24"/>
        <v>1945.879510220801</v>
      </c>
    </row>
    <row r="25" spans="1:65" x14ac:dyDescent="0.25">
      <c r="A25" s="1" t="s">
        <v>30</v>
      </c>
      <c r="B25" s="2"/>
      <c r="C25" s="2"/>
      <c r="D25" s="2">
        <v>-5755</v>
      </c>
      <c r="E25" s="2"/>
      <c r="F25" s="2">
        <v>245</v>
      </c>
      <c r="G25" s="2">
        <v>261</v>
      </c>
      <c r="H25" s="2">
        <v>215</v>
      </c>
      <c r="I25" s="2">
        <f t="shared" si="20"/>
        <v>193</v>
      </c>
      <c r="J25" s="2">
        <v>317</v>
      </c>
      <c r="K25" s="2">
        <v>233</v>
      </c>
      <c r="L25" s="2"/>
      <c r="M25" s="2"/>
      <c r="P25" s="2">
        <v>-873</v>
      </c>
      <c r="Q25" s="2">
        <v>-5803</v>
      </c>
      <c r="R25" s="2">
        <v>914</v>
      </c>
      <c r="S25" s="2">
        <f>IF(R86&gt;0,R86*$AC$5,0)</f>
        <v>0</v>
      </c>
      <c r="T25" s="2">
        <f t="shared" ref="T25:Z25" si="25">IF(S86&gt;0,S86*$AC$5,0)</f>
        <v>0</v>
      </c>
      <c r="U25" s="2">
        <f t="shared" si="25"/>
        <v>0</v>
      </c>
      <c r="V25" s="2">
        <f t="shared" si="25"/>
        <v>0</v>
      </c>
      <c r="W25" s="2">
        <f t="shared" si="25"/>
        <v>534.90058347172396</v>
      </c>
      <c r="X25" s="2">
        <f t="shared" si="25"/>
        <v>1322.005880025062</v>
      </c>
      <c r="Y25" s="2">
        <f t="shared" si="25"/>
        <v>2209.4385369033294</v>
      </c>
      <c r="Z25" s="2">
        <f t="shared" si="25"/>
        <v>3205.3499712446392</v>
      </c>
    </row>
    <row r="26" spans="1:65" s="3" customFormat="1" x14ac:dyDescent="0.25">
      <c r="A26" s="3" t="s">
        <v>32</v>
      </c>
      <c r="B26" s="4">
        <f t="shared" ref="B26:J26" si="26">+B21-B22-B23+B24+B25</f>
        <v>0</v>
      </c>
      <c r="C26" s="4">
        <f t="shared" si="26"/>
        <v>0</v>
      </c>
      <c r="D26" s="4">
        <f t="shared" si="26"/>
        <v>-4207</v>
      </c>
      <c r="E26" s="4">
        <f t="shared" si="26"/>
        <v>0</v>
      </c>
      <c r="F26" s="4">
        <f t="shared" si="26"/>
        <v>1427</v>
      </c>
      <c r="G26" s="4">
        <f t="shared" si="26"/>
        <v>2423</v>
      </c>
      <c r="H26" s="4">
        <f t="shared" si="26"/>
        <v>2284</v>
      </c>
      <c r="I26" s="4">
        <f t="shared" si="26"/>
        <v>4162</v>
      </c>
      <c r="J26" s="4">
        <f t="shared" si="26"/>
        <v>1505</v>
      </c>
      <c r="K26" s="4">
        <f>+K21-K22-K23+K24+K25</f>
        <v>2646</v>
      </c>
      <c r="L26" s="4"/>
      <c r="M26" s="4"/>
      <c r="P26" s="4">
        <f t="shared" ref="P26:Z26" si="27">+P21-P22-P23+P24+P25</f>
        <v>5992</v>
      </c>
      <c r="Q26" s="4">
        <f t="shared" si="27"/>
        <v>2372</v>
      </c>
      <c r="R26" s="4">
        <f t="shared" si="27"/>
        <v>10296</v>
      </c>
      <c r="S26" s="4">
        <f t="shared" si="27"/>
        <v>9619.6854500000045</v>
      </c>
      <c r="T26" s="4">
        <f t="shared" si="27"/>
        <v>15348.049030000017</v>
      </c>
      <c r="U26" s="4">
        <f t="shared" si="27"/>
        <v>16652.251728100007</v>
      </c>
      <c r="V26" s="4">
        <f t="shared" si="27"/>
        <v>18041.867678187005</v>
      </c>
      <c r="W26" s="4">
        <f t="shared" si="27"/>
        <v>20048.365634973725</v>
      </c>
      <c r="X26" s="4">
        <f t="shared" si="27"/>
        <v>22393.726997223112</v>
      </c>
      <c r="Y26" s="4">
        <f t="shared" si="27"/>
        <v>24931.03923388206</v>
      </c>
      <c r="Z26" s="4">
        <f t="shared" si="27"/>
        <v>27673.726172528852</v>
      </c>
    </row>
    <row r="27" spans="1:65" x14ac:dyDescent="0.25">
      <c r="A27" s="1" t="s">
        <v>31</v>
      </c>
      <c r="B27" s="2"/>
      <c r="C27" s="2"/>
      <c r="D27" s="2">
        <v>295</v>
      </c>
      <c r="E27" s="2"/>
      <c r="F27" s="2">
        <v>367</v>
      </c>
      <c r="G27" s="2">
        <v>423</v>
      </c>
      <c r="H27" s="2">
        <v>412</v>
      </c>
      <c r="I27" s="2">
        <f>+R27-H27-G27-F27</f>
        <v>405</v>
      </c>
      <c r="J27" s="2">
        <v>432</v>
      </c>
      <c r="K27" s="2">
        <v>427</v>
      </c>
      <c r="L27" s="2"/>
      <c r="M27" s="2"/>
      <c r="P27" s="2">
        <v>1155</v>
      </c>
      <c r="Q27" s="2">
        <v>1216</v>
      </c>
      <c r="R27" s="2">
        <v>1607</v>
      </c>
      <c r="S27" s="2">
        <f>+R27*0.99</f>
        <v>1590.93</v>
      </c>
      <c r="T27" s="2">
        <f t="shared" ref="T27:Z27" si="28">+S27*0.99</f>
        <v>1575.0207</v>
      </c>
      <c r="U27" s="2">
        <f t="shared" si="28"/>
        <v>1559.270493</v>
      </c>
      <c r="V27" s="2">
        <f t="shared" si="28"/>
        <v>1543.6777880699999</v>
      </c>
      <c r="W27" s="2">
        <f t="shared" si="28"/>
        <v>1528.2410101892999</v>
      </c>
      <c r="X27" s="2">
        <f t="shared" si="28"/>
        <v>1512.9586000874069</v>
      </c>
      <c r="Y27" s="2">
        <f t="shared" si="28"/>
        <v>1497.8290140865329</v>
      </c>
      <c r="Z27" s="2">
        <f t="shared" si="28"/>
        <v>1482.8507239456676</v>
      </c>
    </row>
    <row r="28" spans="1:65" x14ac:dyDescent="0.25">
      <c r="A28" s="1" t="s">
        <v>33</v>
      </c>
      <c r="B28" s="2">
        <f t="shared" ref="B28:J28" si="29">+B26-B27</f>
        <v>0</v>
      </c>
      <c r="C28" s="2">
        <f t="shared" si="29"/>
        <v>0</v>
      </c>
      <c r="D28" s="2">
        <f t="shared" si="29"/>
        <v>-4502</v>
      </c>
      <c r="E28" s="2">
        <f t="shared" si="29"/>
        <v>0</v>
      </c>
      <c r="F28" s="2">
        <f t="shared" si="29"/>
        <v>1060</v>
      </c>
      <c r="G28" s="2">
        <f t="shared" si="29"/>
        <v>2000</v>
      </c>
      <c r="H28" s="2">
        <f t="shared" si="29"/>
        <v>1872</v>
      </c>
      <c r="I28" s="2">
        <f t="shared" si="29"/>
        <v>3757</v>
      </c>
      <c r="J28" s="2">
        <f t="shared" si="29"/>
        <v>1073</v>
      </c>
      <c r="K28" s="2">
        <f>+K26-K27</f>
        <v>2219</v>
      </c>
      <c r="L28" s="2"/>
      <c r="M28" s="2"/>
      <c r="P28" s="2">
        <f t="shared" ref="P28:Z28" si="30">+P26-P27</f>
        <v>4837</v>
      </c>
      <c r="Q28" s="2">
        <f t="shared" si="30"/>
        <v>1156</v>
      </c>
      <c r="R28" s="2">
        <f t="shared" si="30"/>
        <v>8689</v>
      </c>
      <c r="S28" s="2">
        <f t="shared" si="30"/>
        <v>8028.7554500000042</v>
      </c>
      <c r="T28" s="2">
        <f t="shared" si="30"/>
        <v>13773.028330000016</v>
      </c>
      <c r="U28" s="2">
        <f t="shared" si="30"/>
        <v>15092.981235100007</v>
      </c>
      <c r="V28" s="2">
        <f t="shared" si="30"/>
        <v>16498.189890117006</v>
      </c>
      <c r="W28" s="2">
        <f t="shared" si="30"/>
        <v>18520.124624784425</v>
      </c>
      <c r="X28" s="2">
        <f t="shared" si="30"/>
        <v>20880.768397135704</v>
      </c>
      <c r="Y28" s="2">
        <f t="shared" si="30"/>
        <v>23433.210219795528</v>
      </c>
      <c r="Z28" s="2">
        <f t="shared" si="30"/>
        <v>26190.875448583185</v>
      </c>
    </row>
    <row r="29" spans="1:65" x14ac:dyDescent="0.25">
      <c r="A29" s="1" t="s">
        <v>34</v>
      </c>
      <c r="B29" s="2"/>
      <c r="C29" s="2"/>
      <c r="D29" s="2">
        <v>-1287</v>
      </c>
      <c r="E29" s="2"/>
      <c r="F29" s="2">
        <v>124</v>
      </c>
      <c r="G29" s="2">
        <v>419</v>
      </c>
      <c r="H29" s="2">
        <v>159</v>
      </c>
      <c r="I29" s="2">
        <f>+R29-H29-G29-F29</f>
        <v>474</v>
      </c>
      <c r="J29" s="2">
        <v>-502</v>
      </c>
      <c r="K29" s="2">
        <v>389</v>
      </c>
      <c r="L29" s="2"/>
      <c r="M29" s="2"/>
      <c r="P29" s="2">
        <v>124</v>
      </c>
      <c r="Q29" s="2">
        <v>-626</v>
      </c>
      <c r="R29" s="2">
        <v>1176</v>
      </c>
      <c r="S29" s="2">
        <f>+S28*0.15</f>
        <v>1204.3133175000005</v>
      </c>
      <c r="T29" s="2">
        <f t="shared" ref="T29:Z29" si="31">+T28*0.15</f>
        <v>2065.9542495000023</v>
      </c>
      <c r="U29" s="2">
        <f t="shared" si="31"/>
        <v>2263.9471852650008</v>
      </c>
      <c r="V29" s="2">
        <f t="shared" si="31"/>
        <v>2474.728483517551</v>
      </c>
      <c r="W29" s="2">
        <f t="shared" si="31"/>
        <v>2778.0186937176636</v>
      </c>
      <c r="X29" s="2">
        <f t="shared" si="31"/>
        <v>3132.1152595703556</v>
      </c>
      <c r="Y29" s="2">
        <f t="shared" si="31"/>
        <v>3514.9815329693292</v>
      </c>
      <c r="Z29" s="2">
        <f t="shared" si="31"/>
        <v>3928.6313172874775</v>
      </c>
    </row>
    <row r="30" spans="1:65" s="3" customFormat="1" x14ac:dyDescent="0.25">
      <c r="A30" s="3" t="s">
        <v>35</v>
      </c>
      <c r="B30" s="4">
        <f t="shared" ref="B30:J30" si="32">+B28-B29</f>
        <v>0</v>
      </c>
      <c r="C30" s="4">
        <f t="shared" si="32"/>
        <v>0</v>
      </c>
      <c r="D30" s="4">
        <f t="shared" si="32"/>
        <v>-3215</v>
      </c>
      <c r="E30" s="4">
        <f t="shared" si="32"/>
        <v>0</v>
      </c>
      <c r="F30" s="4">
        <f t="shared" si="32"/>
        <v>936</v>
      </c>
      <c r="G30" s="4">
        <f t="shared" si="32"/>
        <v>1581</v>
      </c>
      <c r="H30" s="4">
        <f t="shared" si="32"/>
        <v>1713</v>
      </c>
      <c r="I30" s="4">
        <f t="shared" si="32"/>
        <v>3283</v>
      </c>
      <c r="J30" s="4">
        <f t="shared" si="32"/>
        <v>1575</v>
      </c>
      <c r="K30" s="4">
        <f>+K28-K29</f>
        <v>1830</v>
      </c>
      <c r="L30" s="4"/>
      <c r="M30" s="4"/>
      <c r="P30" s="4">
        <f t="shared" ref="P30:Z30" si="33">+P28-P29</f>
        <v>4713</v>
      </c>
      <c r="Q30" s="4">
        <f t="shared" si="33"/>
        <v>1782</v>
      </c>
      <c r="R30" s="4">
        <f t="shared" si="33"/>
        <v>7513</v>
      </c>
      <c r="S30" s="4">
        <f t="shared" si="33"/>
        <v>6824.4421325000039</v>
      </c>
      <c r="T30" s="4">
        <f t="shared" si="33"/>
        <v>11707.074080500013</v>
      </c>
      <c r="U30" s="4">
        <f t="shared" si="33"/>
        <v>12829.034049835007</v>
      </c>
      <c r="V30" s="4">
        <f t="shared" si="33"/>
        <v>14023.461406599456</v>
      </c>
      <c r="W30" s="4">
        <f t="shared" si="33"/>
        <v>15742.105931066761</v>
      </c>
      <c r="X30" s="4">
        <f t="shared" si="33"/>
        <v>17748.653137565347</v>
      </c>
      <c r="Y30" s="4">
        <f t="shared" si="33"/>
        <v>19918.228686826198</v>
      </c>
      <c r="Z30" s="4">
        <f t="shared" si="33"/>
        <v>22262.244131295709</v>
      </c>
      <c r="AA30" s="4">
        <f>+Z30*(1+$AC$4)</f>
        <v>22707.489013921622</v>
      </c>
      <c r="AB30" s="4">
        <f t="shared" ref="AB30:BM30" si="34">+AA30*(1+$AC$4)</f>
        <v>23161.638794200055</v>
      </c>
      <c r="AC30" s="4">
        <f t="shared" si="34"/>
        <v>23624.871570084055</v>
      </c>
      <c r="AD30" s="4">
        <f t="shared" si="34"/>
        <v>24097.369001485735</v>
      </c>
      <c r="AE30" s="4">
        <f t="shared" si="34"/>
        <v>24579.316381515451</v>
      </c>
      <c r="AF30" s="4">
        <f t="shared" si="34"/>
        <v>25070.902709145761</v>
      </c>
      <c r="AG30" s="4">
        <f t="shared" si="34"/>
        <v>25572.320763328677</v>
      </c>
      <c r="AH30" s="4">
        <f t="shared" si="34"/>
        <v>26083.767178595252</v>
      </c>
      <c r="AI30" s="4">
        <f t="shared" si="34"/>
        <v>26605.442522167155</v>
      </c>
      <c r="AJ30" s="4">
        <f t="shared" si="34"/>
        <v>27137.551372610498</v>
      </c>
      <c r="AK30" s="4">
        <f t="shared" si="34"/>
        <v>27680.302400062708</v>
      </c>
      <c r="AL30" s="4">
        <f t="shared" si="34"/>
        <v>28233.908448063961</v>
      </c>
      <c r="AM30" s="4">
        <f t="shared" si="34"/>
        <v>28798.586617025241</v>
      </c>
      <c r="AN30" s="4">
        <f t="shared" si="34"/>
        <v>29374.558349365747</v>
      </c>
      <c r="AO30" s="4">
        <f t="shared" si="34"/>
        <v>29962.049516353061</v>
      </c>
      <c r="AP30" s="4">
        <f t="shared" si="34"/>
        <v>30561.290506680121</v>
      </c>
      <c r="AQ30" s="4">
        <f t="shared" si="34"/>
        <v>31172.516316813726</v>
      </c>
      <c r="AR30" s="4">
        <f t="shared" si="34"/>
        <v>31795.966643150001</v>
      </c>
      <c r="AS30" s="4">
        <f t="shared" si="34"/>
        <v>32431.885976013</v>
      </c>
      <c r="AT30" s="4">
        <f t="shared" si="34"/>
        <v>33080.523695533258</v>
      </c>
      <c r="AU30" s="4">
        <f t="shared" si="34"/>
        <v>33742.134169443925</v>
      </c>
      <c r="AV30" s="4">
        <f t="shared" si="34"/>
        <v>34416.976852832806</v>
      </c>
      <c r="AW30" s="4">
        <f t="shared" si="34"/>
        <v>35105.316389889464</v>
      </c>
      <c r="AX30" s="4">
        <f t="shared" si="34"/>
        <v>35807.422717687252</v>
      </c>
      <c r="AY30" s="4">
        <f t="shared" si="34"/>
        <v>36523.571172040996</v>
      </c>
      <c r="AZ30" s="4">
        <f t="shared" si="34"/>
        <v>37254.04259548182</v>
      </c>
      <c r="BA30" s="4">
        <f t="shared" si="34"/>
        <v>37999.123447391459</v>
      </c>
      <c r="BB30" s="4">
        <f t="shared" si="34"/>
        <v>38759.105916339286</v>
      </c>
      <c r="BC30" s="4">
        <f t="shared" si="34"/>
        <v>39534.288034666075</v>
      </c>
      <c r="BD30" s="4">
        <f t="shared" si="34"/>
        <v>40324.973795359394</v>
      </c>
      <c r="BE30" s="4">
        <f t="shared" si="34"/>
        <v>41131.473271266579</v>
      </c>
      <c r="BF30" s="4">
        <f t="shared" si="34"/>
        <v>41954.102736691908</v>
      </c>
      <c r="BG30" s="4">
        <f t="shared" si="34"/>
        <v>42793.184791425745</v>
      </c>
      <c r="BH30" s="4">
        <f t="shared" si="34"/>
        <v>43649.048487254258</v>
      </c>
      <c r="BI30" s="4">
        <f t="shared" si="34"/>
        <v>44522.029456999342</v>
      </c>
      <c r="BJ30" s="4">
        <f t="shared" si="34"/>
        <v>45412.470046139329</v>
      </c>
      <c r="BK30" s="4">
        <f t="shared" si="34"/>
        <v>46320.719447062118</v>
      </c>
      <c r="BL30" s="4">
        <f t="shared" si="34"/>
        <v>47247.133836003362</v>
      </c>
      <c r="BM30" s="4">
        <f t="shared" si="34"/>
        <v>48192.076512723434</v>
      </c>
    </row>
    <row r="31" spans="1:65" x14ac:dyDescent="0.25">
      <c r="A31" s="1" t="s">
        <v>36</v>
      </c>
      <c r="B31" s="2"/>
      <c r="C31" s="2"/>
      <c r="D31" s="2">
        <v>904.1</v>
      </c>
      <c r="E31" s="2"/>
      <c r="F31" s="2">
        <v>917.8</v>
      </c>
      <c r="G31" s="2">
        <v>919.5</v>
      </c>
      <c r="H31" s="2">
        <v>923.7</v>
      </c>
      <c r="I31" s="2"/>
      <c r="J31" s="2">
        <v>933.4</v>
      </c>
      <c r="K31" s="2">
        <v>934.4</v>
      </c>
      <c r="L31" s="2"/>
      <c r="M31" s="2"/>
      <c r="P31" s="2">
        <v>904.64099999999996</v>
      </c>
      <c r="Q31" s="2">
        <v>912.26900000000001</v>
      </c>
      <c r="R31" s="2">
        <v>922.07299999999998</v>
      </c>
      <c r="S31" s="2">
        <f>+R31*1.02</f>
        <v>940.51445999999999</v>
      </c>
      <c r="T31" s="2">
        <f t="shared" ref="T31:Z31" si="35">+S31*1.02</f>
        <v>959.32474920000004</v>
      </c>
      <c r="U31" s="2">
        <f t="shared" si="35"/>
        <v>978.51124418400002</v>
      </c>
      <c r="V31" s="2">
        <f t="shared" si="35"/>
        <v>998.08146906768002</v>
      </c>
      <c r="W31" s="2">
        <f t="shared" si="35"/>
        <v>1018.0430984490337</v>
      </c>
      <c r="X31" s="2">
        <f t="shared" si="35"/>
        <v>1038.4039604180143</v>
      </c>
      <c r="Y31" s="2">
        <f t="shared" si="35"/>
        <v>1059.1720396263747</v>
      </c>
      <c r="Z31" s="2">
        <f t="shared" si="35"/>
        <v>1080.3554804189023</v>
      </c>
    </row>
    <row r="32" spans="1:65" x14ac:dyDescent="0.25">
      <c r="A32" s="1" t="s">
        <v>37</v>
      </c>
      <c r="B32" s="5" t="e">
        <f t="shared" ref="B32:J32" si="36">+B30/B31</f>
        <v>#DIV/0!</v>
      </c>
      <c r="C32" s="5" t="e">
        <f t="shared" si="36"/>
        <v>#DIV/0!</v>
      </c>
      <c r="D32" s="5">
        <f t="shared" si="36"/>
        <v>-3.5560225638756773</v>
      </c>
      <c r="E32" s="5" t="e">
        <f t="shared" si="36"/>
        <v>#DIV/0!</v>
      </c>
      <c r="F32" s="5">
        <f t="shared" si="36"/>
        <v>1.0198300283286119</v>
      </c>
      <c r="G32" s="5">
        <f t="shared" si="36"/>
        <v>1.7194127243066883</v>
      </c>
      <c r="H32" s="5">
        <f t="shared" si="36"/>
        <v>1.8544982137057486</v>
      </c>
      <c r="I32" s="5" t="e">
        <f t="shared" si="36"/>
        <v>#DIV/0!</v>
      </c>
      <c r="J32" s="5">
        <f t="shared" si="36"/>
        <v>1.6873794728947933</v>
      </c>
      <c r="K32" s="5">
        <f>+K30/K31</f>
        <v>1.9584760273972603</v>
      </c>
      <c r="P32" s="5">
        <f t="shared" ref="P32:Z32" si="37">+P30/P31</f>
        <v>5.2098014571526168</v>
      </c>
      <c r="Q32" s="5">
        <f t="shared" si="37"/>
        <v>1.9533712095883999</v>
      </c>
      <c r="R32" s="5">
        <f t="shared" si="37"/>
        <v>8.1479449024101136</v>
      </c>
      <c r="S32" s="5">
        <f t="shared" si="37"/>
        <v>7.2560735881721632</v>
      </c>
      <c r="T32" s="5">
        <f t="shared" si="37"/>
        <v>12.203452574597678</v>
      </c>
      <c r="U32" s="5">
        <f t="shared" si="37"/>
        <v>13.110768145064489</v>
      </c>
      <c r="V32" s="5">
        <f t="shared" si="37"/>
        <v>14.05041756731436</v>
      </c>
      <c r="W32" s="5">
        <f t="shared" si="37"/>
        <v>15.463103629944071</v>
      </c>
      <c r="X32" s="5">
        <f t="shared" si="37"/>
        <v>17.092243302327685</v>
      </c>
      <c r="Y32" s="5">
        <f t="shared" si="37"/>
        <v>18.80547063331883</v>
      </c>
      <c r="Z32" s="5">
        <f t="shared" si="37"/>
        <v>20.606406441945978</v>
      </c>
    </row>
    <row r="33" spans="1:26" x14ac:dyDescent="0.25">
      <c r="Q33" s="7"/>
      <c r="R33" s="7"/>
    </row>
    <row r="34" spans="1:26" x14ac:dyDescent="0.25">
      <c r="A34" s="1" t="s">
        <v>74</v>
      </c>
      <c r="H34" s="7">
        <f>+H3/D3-1</f>
        <v>7.8127688865943901E-2</v>
      </c>
      <c r="I34" s="7"/>
      <c r="J34" s="7">
        <f t="shared" ref="J34:K36" si="38">+J3/F3-1</f>
        <v>5.5088535145769946E-2</v>
      </c>
      <c r="K34" s="7">
        <f t="shared" si="38"/>
        <v>7.0702256116936812E-2</v>
      </c>
      <c r="R34" s="7">
        <f>+R3/Q3-1</f>
        <v>5.0764867995366947E-2</v>
      </c>
    </row>
    <row r="35" spans="1:26" x14ac:dyDescent="0.25">
      <c r="A35" s="1" t="s">
        <v>75</v>
      </c>
      <c r="H35" s="7">
        <f>+H4/D4-1</f>
        <v>5.5957446808510669E-2</v>
      </c>
      <c r="I35" s="7"/>
      <c r="J35" s="7">
        <f t="shared" si="38"/>
        <v>-2.1166057340773481E-3</v>
      </c>
      <c r="K35" s="7">
        <f t="shared" si="38"/>
        <v>-8.9934940681208886E-3</v>
      </c>
      <c r="R35" s="7">
        <f t="shared" ref="R35:R36" si="39">+R4/Q4-1</f>
        <v>4.5951745433610691E-2</v>
      </c>
    </row>
    <row r="36" spans="1:26" x14ac:dyDescent="0.25">
      <c r="A36" s="1" t="s">
        <v>76</v>
      </c>
      <c r="H36" s="7">
        <f>+H5/D5-1</f>
        <v>-2.3866348448687402E-2</v>
      </c>
      <c r="I36" s="7"/>
      <c r="J36" s="7">
        <f t="shared" si="38"/>
        <v>-7.1013557133634553E-3</v>
      </c>
      <c r="K36" s="7">
        <f t="shared" si="38"/>
        <v>7.4626865671640896E-3</v>
      </c>
      <c r="R36" s="7">
        <f t="shared" si="39"/>
        <v>-4.5460491889063315E-2</v>
      </c>
    </row>
    <row r="37" spans="1:26" x14ac:dyDescent="0.25">
      <c r="A37" s="1" t="s">
        <v>19</v>
      </c>
      <c r="H37" s="7">
        <f>+H8/D8-1</f>
        <v>2.3896809232858196E-2</v>
      </c>
      <c r="I37" s="7"/>
      <c r="J37" s="7">
        <f t="shared" ref="J37:K39" si="40">+J8/F8-1</f>
        <v>-7.1770334928229484E-3</v>
      </c>
      <c r="K37" s="7">
        <f t="shared" si="40"/>
        <v>-1.9594862968356996E-2</v>
      </c>
      <c r="Q37" s="7">
        <f t="shared" ref="Q37:Z39" si="41">+Q8/P8-1</f>
        <v>3.3567151411462826E-2</v>
      </c>
      <c r="R37" s="7">
        <f t="shared" si="41"/>
        <v>5.694232933854293E-3</v>
      </c>
      <c r="S37" s="7">
        <f t="shared" si="41"/>
        <v>5.0000000000000044E-2</v>
      </c>
      <c r="T37" s="7">
        <f t="shared" si="41"/>
        <v>5.0000000000000044E-2</v>
      </c>
      <c r="U37" s="7">
        <f t="shared" si="41"/>
        <v>5.0000000000000044E-2</v>
      </c>
      <c r="V37" s="7">
        <f t="shared" si="41"/>
        <v>5.0000000000000044E-2</v>
      </c>
      <c r="W37" s="7">
        <f t="shared" si="41"/>
        <v>5.0000000000000044E-2</v>
      </c>
      <c r="X37" s="7">
        <f t="shared" si="41"/>
        <v>5.0000000000000044E-2</v>
      </c>
      <c r="Y37" s="7">
        <f t="shared" si="41"/>
        <v>5.0000000000000044E-2</v>
      </c>
      <c r="Z37" s="7">
        <f t="shared" si="41"/>
        <v>5.0000000000000044E-2</v>
      </c>
    </row>
    <row r="38" spans="1:26" x14ac:dyDescent="0.25">
      <c r="A38" s="1" t="s">
        <v>20</v>
      </c>
      <c r="H38" s="7">
        <f>+H9/D9-1</f>
        <v>7.0068545316070097E-2</v>
      </c>
      <c r="I38" s="7"/>
      <c r="J38" s="7">
        <f t="shared" si="40"/>
        <v>4.0875688916105268E-2</v>
      </c>
      <c r="K38" s="7">
        <f t="shared" si="40"/>
        <v>5.8922341387776189E-2</v>
      </c>
      <c r="Q38" s="7">
        <f t="shared" si="41"/>
        <v>8.5094712206538414E-2</v>
      </c>
      <c r="R38" s="7">
        <f t="shared" si="41"/>
        <v>3.6127118929666802E-2</v>
      </c>
      <c r="S38" s="7">
        <f t="shared" ref="S38:Z38" si="42">+S9/R9-1</f>
        <v>5.0000000000000044E-2</v>
      </c>
      <c r="T38" s="7">
        <f t="shared" si="42"/>
        <v>5.0000000000000044E-2</v>
      </c>
      <c r="U38" s="7">
        <f t="shared" si="42"/>
        <v>4.0000000000000036E-2</v>
      </c>
      <c r="V38" s="7">
        <f t="shared" si="42"/>
        <v>4.0000000000000036E-2</v>
      </c>
      <c r="W38" s="7">
        <f t="shared" si="42"/>
        <v>4.0000000000000036E-2</v>
      </c>
      <c r="X38" s="7">
        <f t="shared" si="42"/>
        <v>4.0000000000000036E-2</v>
      </c>
      <c r="Y38" s="7">
        <f t="shared" si="42"/>
        <v>4.0000000000000036E-2</v>
      </c>
      <c r="Z38" s="7">
        <f t="shared" si="42"/>
        <v>4.0000000000000036E-2</v>
      </c>
    </row>
    <row r="39" spans="1:26" x14ac:dyDescent="0.25">
      <c r="A39" s="1" t="s">
        <v>21</v>
      </c>
      <c r="H39" s="7">
        <f>+H10/D10-1</f>
        <v>5.6818181818181879E-2</v>
      </c>
      <c r="I39" s="7"/>
      <c r="J39" s="7">
        <f t="shared" si="40"/>
        <v>-2.0408163265306145E-2</v>
      </c>
      <c r="K39" s="7">
        <f t="shared" si="40"/>
        <v>-7.6502732240437132E-2</v>
      </c>
      <c r="Q39" s="7">
        <f t="shared" si="41"/>
        <v>-0.16538461538461535</v>
      </c>
      <c r="R39" s="7">
        <f t="shared" si="41"/>
        <v>0.13210445468509979</v>
      </c>
      <c r="S39" s="7">
        <f t="shared" ref="S39:Z39" si="43">+S10/R10-1</f>
        <v>0</v>
      </c>
      <c r="T39" s="7">
        <f t="shared" si="43"/>
        <v>0</v>
      </c>
      <c r="U39" s="7">
        <f t="shared" si="43"/>
        <v>0</v>
      </c>
      <c r="V39" s="7">
        <f t="shared" si="43"/>
        <v>0</v>
      </c>
      <c r="W39" s="7">
        <f t="shared" si="43"/>
        <v>0</v>
      </c>
      <c r="X39" s="7">
        <f t="shared" si="43"/>
        <v>0</v>
      </c>
      <c r="Y39" s="7">
        <f t="shared" si="43"/>
        <v>0</v>
      </c>
      <c r="Z39" s="7">
        <f t="shared" si="43"/>
        <v>0</v>
      </c>
    </row>
    <row r="40" spans="1:26" x14ac:dyDescent="0.25">
      <c r="A40" s="3" t="s">
        <v>39</v>
      </c>
      <c r="B40" s="3"/>
      <c r="C40" s="3"/>
      <c r="D40" s="3"/>
      <c r="E40" s="3"/>
      <c r="F40" s="3"/>
      <c r="G40" s="3"/>
      <c r="H40" s="8">
        <f>+H16/D16-1</f>
        <v>4.5796115128314163E-2</v>
      </c>
      <c r="I40" s="8"/>
      <c r="J40" s="8">
        <f>+J16/F16-1</f>
        <v>1.4664608476003371E-2</v>
      </c>
      <c r="K40" s="8">
        <f>+K16/G16-1</f>
        <v>1.8998384491114795E-2</v>
      </c>
      <c r="Q40" s="8">
        <f>+Q16/P16-1</f>
        <v>5.5430594061132377E-2</v>
      </c>
      <c r="R40" s="8">
        <f>+R16/Q16-1</f>
        <v>2.197257558235588E-2</v>
      </c>
      <c r="S40" s="8">
        <f t="shared" ref="S40:Z40" si="44">+S16/R16-1</f>
        <v>4.9404300032330983E-2</v>
      </c>
      <c r="T40" s="8">
        <f t="shared" si="44"/>
        <v>4.9432344647672544E-2</v>
      </c>
      <c r="U40" s="8">
        <f t="shared" si="44"/>
        <v>4.448347842974032E-2</v>
      </c>
      <c r="V40" s="8">
        <f t="shared" si="44"/>
        <v>4.452787345324305E-2</v>
      </c>
      <c r="W40" s="8">
        <f t="shared" si="44"/>
        <v>4.457142640910905E-2</v>
      </c>
      <c r="X40" s="8">
        <f t="shared" si="44"/>
        <v>4.4614169702882567E-2</v>
      </c>
      <c r="Y40" s="8">
        <f t="shared" si="44"/>
        <v>4.4656134485246746E-2</v>
      </c>
      <c r="Z40" s="8">
        <f t="shared" si="44"/>
        <v>4.4697350693606142E-2</v>
      </c>
    </row>
    <row r="42" spans="1:26" x14ac:dyDescent="0.25">
      <c r="A42" s="1" t="s">
        <v>19</v>
      </c>
      <c r="B42" s="7"/>
      <c r="C42" s="7"/>
      <c r="D42" s="7"/>
      <c r="E42" s="7"/>
      <c r="F42" s="7">
        <f t="shared" ref="F42:G44" si="45">+(F8-F17)/F8</f>
        <v>0.29425837320574161</v>
      </c>
      <c r="G42" s="7">
        <f t="shared" si="45"/>
        <v>0.29908645571296172</v>
      </c>
      <c r="H42" s="7">
        <f t="shared" ref="H42:I42" si="46">+(H8-H17)/H8</f>
        <v>0.30818193873491578</v>
      </c>
      <c r="I42" s="7">
        <f t="shared" si="46"/>
        <v>0.32603092783505155</v>
      </c>
      <c r="J42" s="7">
        <f t="shared" ref="J42:K44" si="47">+(J8-J17)/J8</f>
        <v>0.29866131191432399</v>
      </c>
      <c r="K42" s="7">
        <f t="shared" si="47"/>
        <v>0.3077650236326806</v>
      </c>
      <c r="P42" s="7">
        <f t="shared" ref="P42:R44" si="48">+(P8-P17)/P8</f>
        <v>0.34484174508126603</v>
      </c>
      <c r="Q42" s="7">
        <f t="shared" si="48"/>
        <v>0.30272131364629545</v>
      </c>
      <c r="R42" s="7">
        <f t="shared" si="48"/>
        <v>0.3070314043057476</v>
      </c>
      <c r="S42" s="7">
        <f t="shared" ref="S42:Z42" si="49">+(S8-S17)/S8</f>
        <v>0.3000000000000001</v>
      </c>
      <c r="T42" s="7">
        <f t="shared" si="49"/>
        <v>0.30000000000000004</v>
      </c>
      <c r="U42" s="7">
        <f t="shared" si="49"/>
        <v>0.30000000000000004</v>
      </c>
      <c r="V42" s="7">
        <f t="shared" si="49"/>
        <v>0.30000000000000004</v>
      </c>
      <c r="W42" s="7">
        <f t="shared" si="49"/>
        <v>0.3</v>
      </c>
      <c r="X42" s="7">
        <f t="shared" si="49"/>
        <v>0.30000000000000004</v>
      </c>
      <c r="Y42" s="7">
        <f t="shared" si="49"/>
        <v>0.30000000000000004</v>
      </c>
      <c r="Z42" s="7">
        <f t="shared" si="49"/>
        <v>0.30000000000000004</v>
      </c>
    </row>
    <row r="43" spans="1:26" x14ac:dyDescent="0.25">
      <c r="A43" s="1" t="s">
        <v>20</v>
      </c>
      <c r="B43" s="7"/>
      <c r="C43" s="7"/>
      <c r="D43" s="7"/>
      <c r="E43" s="7"/>
      <c r="F43" s="7">
        <f t="shared" si="45"/>
        <v>0.7976117575015309</v>
      </c>
      <c r="G43" s="7">
        <f t="shared" si="45"/>
        <v>0.79493474609122627</v>
      </c>
      <c r="H43" s="7">
        <f t="shared" ref="H43:I43" si="50">+(H9-H18)/H9</f>
        <v>0.79800711743772246</v>
      </c>
      <c r="I43" s="7">
        <f t="shared" si="50"/>
        <v>0.80960948248491904</v>
      </c>
      <c r="J43" s="7">
        <f t="shared" si="47"/>
        <v>0.79688189439623469</v>
      </c>
      <c r="K43" s="7">
        <f t="shared" si="47"/>
        <v>0.80390482001220254</v>
      </c>
      <c r="P43" s="7">
        <f t="shared" si="48"/>
        <v>0.77386089373217293</v>
      </c>
      <c r="Q43" s="7">
        <f t="shared" si="48"/>
        <v>0.78519192531931381</v>
      </c>
      <c r="R43" s="7">
        <f t="shared" si="48"/>
        <v>0.80071556350626116</v>
      </c>
      <c r="S43" s="7">
        <f t="shared" ref="S43:Z43" si="51">+(S9-S18)/S9</f>
        <v>0.79999999999999993</v>
      </c>
      <c r="T43" s="7">
        <f t="shared" si="51"/>
        <v>0.8</v>
      </c>
      <c r="U43" s="7">
        <f t="shared" si="51"/>
        <v>0.8</v>
      </c>
      <c r="V43" s="7">
        <f t="shared" si="51"/>
        <v>0.79999999999999993</v>
      </c>
      <c r="W43" s="7">
        <f t="shared" si="51"/>
        <v>0.8</v>
      </c>
      <c r="X43" s="7">
        <f t="shared" si="51"/>
        <v>0.8</v>
      </c>
      <c r="Y43" s="7">
        <f t="shared" si="51"/>
        <v>0.8</v>
      </c>
      <c r="Z43" s="7">
        <f t="shared" si="51"/>
        <v>0.8</v>
      </c>
    </row>
    <row r="44" spans="1:26" x14ac:dyDescent="0.25">
      <c r="A44" s="1" t="s">
        <v>21</v>
      </c>
      <c r="B44" s="7"/>
      <c r="C44" s="7"/>
      <c r="D44" s="7"/>
      <c r="E44" s="7"/>
      <c r="F44" s="7">
        <f t="shared" si="45"/>
        <v>0.43877551020408162</v>
      </c>
      <c r="G44" s="7">
        <f t="shared" si="45"/>
        <v>0.49180327868852458</v>
      </c>
      <c r="H44" s="7">
        <f t="shared" ref="H44:I44" si="52">+(H10-H19)/H10</f>
        <v>0.4946236559139785</v>
      </c>
      <c r="I44" s="7">
        <f t="shared" si="52"/>
        <v>0.5058139534883721</v>
      </c>
      <c r="J44" s="7">
        <f t="shared" si="47"/>
        <v>0.484375</v>
      </c>
      <c r="K44" s="7">
        <f t="shared" si="47"/>
        <v>0.4911242603550296</v>
      </c>
      <c r="P44" s="7">
        <f t="shared" si="48"/>
        <v>0.31538461538461537</v>
      </c>
      <c r="Q44" s="7">
        <f t="shared" si="48"/>
        <v>0.37634408602150538</v>
      </c>
      <c r="R44" s="7">
        <f t="shared" si="48"/>
        <v>0.48168249660786971</v>
      </c>
      <c r="S44" s="7">
        <f t="shared" ref="S44:Z44" si="53">+(S10-S19)/S10</f>
        <v>0.44999999999999996</v>
      </c>
      <c r="T44" s="7">
        <f t="shared" si="53"/>
        <v>0.44999999999999996</v>
      </c>
      <c r="U44" s="7">
        <f t="shared" si="53"/>
        <v>0.44999999999999996</v>
      </c>
      <c r="V44" s="7">
        <f t="shared" si="53"/>
        <v>0.44999999999999996</v>
      </c>
      <c r="W44" s="7">
        <f t="shared" si="53"/>
        <v>0.44999999999999996</v>
      </c>
      <c r="X44" s="7">
        <f t="shared" si="53"/>
        <v>0.44999999999999996</v>
      </c>
      <c r="Y44" s="7">
        <f t="shared" si="53"/>
        <v>0.44999999999999996</v>
      </c>
      <c r="Z44" s="7">
        <f t="shared" si="53"/>
        <v>0.44999999999999996</v>
      </c>
    </row>
    <row r="45" spans="1:26" x14ac:dyDescent="0.25">
      <c r="A45" s="1" t="s">
        <v>40</v>
      </c>
      <c r="B45" s="7"/>
      <c r="C45" s="7"/>
      <c r="D45" s="7"/>
      <c r="E45" s="7"/>
      <c r="F45" s="7">
        <f>+F21/F16</f>
        <v>0.52694358686500142</v>
      </c>
      <c r="G45" s="7">
        <f>+G21/G16</f>
        <v>0.54933764135702745</v>
      </c>
      <c r="H45" s="7">
        <f t="shared" ref="H45:I45" si="54">+H21/H16</f>
        <v>0.54379067245119306</v>
      </c>
      <c r="I45" s="7">
        <f t="shared" si="54"/>
        <v>0.59070249122605145</v>
      </c>
      <c r="J45" s="7">
        <f>+J21/J16</f>
        <v>0.53537099785630315</v>
      </c>
      <c r="K45" s="7">
        <f>+K21/K16</f>
        <v>0.56756928150168051</v>
      </c>
      <c r="P45" s="7">
        <f t="shared" ref="P45:R45" si="55">+P21/P16</f>
        <v>0.54900524838276576</v>
      </c>
      <c r="Q45" s="7">
        <f t="shared" si="55"/>
        <v>0.54002973732033699</v>
      </c>
      <c r="R45" s="7">
        <f t="shared" si="55"/>
        <v>0.55447785321694143</v>
      </c>
      <c r="S45" s="7">
        <f t="shared" ref="S45:Z45" si="56">+S21/S16</f>
        <v>0.55034871907838034</v>
      </c>
      <c r="T45" s="7">
        <f t="shared" si="56"/>
        <v>0.55040299936407455</v>
      </c>
      <c r="U45" s="7">
        <f t="shared" si="56"/>
        <v>0.55000000000000004</v>
      </c>
      <c r="V45" s="7">
        <f t="shared" si="56"/>
        <v>0.55000000000000004</v>
      </c>
      <c r="W45" s="7">
        <f t="shared" si="56"/>
        <v>0.54999999999999993</v>
      </c>
      <c r="X45" s="7">
        <f t="shared" si="56"/>
        <v>0.55000000000000004</v>
      </c>
      <c r="Y45" s="7">
        <f t="shared" si="56"/>
        <v>0.54999999999999993</v>
      </c>
      <c r="Z45" s="7">
        <f t="shared" si="56"/>
        <v>0.54999999999999993</v>
      </c>
    </row>
    <row r="46" spans="1:26" x14ac:dyDescent="0.25">
      <c r="A46" s="1" t="s">
        <v>41</v>
      </c>
      <c r="B46" s="7"/>
      <c r="C46" s="7"/>
      <c r="D46" s="7"/>
      <c r="E46" s="7"/>
      <c r="F46" s="7">
        <f>+F26/F16</f>
        <v>0.10012629806342969</v>
      </c>
      <c r="G46" s="7">
        <f>+G26/G16</f>
        <v>0.15657512116316641</v>
      </c>
      <c r="H46" s="7">
        <f t="shared" ref="H46:I46" si="57">+H26/H16</f>
        <v>0.15482646420824295</v>
      </c>
      <c r="I46" s="7">
        <f t="shared" si="57"/>
        <v>0.23945687820033371</v>
      </c>
      <c r="J46" s="7">
        <f>+J26/J16</f>
        <v>0.1040730239955743</v>
      </c>
      <c r="K46" s="7">
        <f>+K26/K16</f>
        <v>0.16779757752552477</v>
      </c>
      <c r="P46" s="7">
        <f t="shared" ref="P46:R46" si="58">+P26/P16</f>
        <v>0.10447943366288295</v>
      </c>
      <c r="Q46" s="7">
        <f t="shared" si="58"/>
        <v>3.9187179910788038E-2</v>
      </c>
      <c r="R46" s="7">
        <f t="shared" si="58"/>
        <v>0.16644034917555772</v>
      </c>
      <c r="S46" s="7">
        <f t="shared" ref="S46:Z46" si="59">+S26/S16</f>
        <v>0.14818632112348012</v>
      </c>
      <c r="T46" s="7">
        <f t="shared" si="59"/>
        <v>0.22529210731887672</v>
      </c>
      <c r="U46" s="7">
        <f t="shared" si="59"/>
        <v>0.23402604440018435</v>
      </c>
      <c r="V46" s="7">
        <f t="shared" si="59"/>
        <v>0.24274633648388938</v>
      </c>
      <c r="W46" s="7">
        <f t="shared" si="59"/>
        <v>0.2582331681139432</v>
      </c>
      <c r="X46" s="7">
        <f t="shared" si="59"/>
        <v>0.27612359306040535</v>
      </c>
      <c r="Y46" s="7">
        <f t="shared" si="59"/>
        <v>0.29426876044777084</v>
      </c>
      <c r="Z46" s="7">
        <f t="shared" si="59"/>
        <v>0.31266619153645631</v>
      </c>
    </row>
    <row r="47" spans="1:26" x14ac:dyDescent="0.25">
      <c r="A47" s="1" t="s">
        <v>42</v>
      </c>
      <c r="B47" s="7"/>
      <c r="C47" s="7"/>
      <c r="D47" s="7"/>
      <c r="E47" s="7"/>
      <c r="F47" s="7">
        <f>+F30/F16</f>
        <v>6.5674992983440927E-2</v>
      </c>
      <c r="G47" s="7">
        <f>+G30/G16</f>
        <v>0.10216478190630049</v>
      </c>
      <c r="H47" s="7">
        <f t="shared" ref="H47:I47" si="60">+H30/H16</f>
        <v>0.11611984815618222</v>
      </c>
      <c r="I47" s="7">
        <f t="shared" si="60"/>
        <v>0.18888441401530406</v>
      </c>
      <c r="J47" s="7">
        <f>+J30/J16</f>
        <v>0.10891362976281031</v>
      </c>
      <c r="K47" s="7">
        <f>+K30/K16</f>
        <v>0.11605047878749446</v>
      </c>
      <c r="P47" s="7">
        <f t="shared" ref="P47:R47" si="61">+P30/P16</f>
        <v>8.2178166030234867E-2</v>
      </c>
      <c r="Q47" s="7">
        <f t="shared" si="61"/>
        <v>2.9439947133652736E-2</v>
      </c>
      <c r="R47" s="7">
        <f t="shared" si="61"/>
        <v>0.12145166505011316</v>
      </c>
      <c r="S47" s="7">
        <f t="shared" ref="S47:Z47" si="62">+S30/S16</f>
        <v>0.10512703129344553</v>
      </c>
      <c r="T47" s="7">
        <f t="shared" si="62"/>
        <v>0.17184668780889648</v>
      </c>
      <c r="U47" s="7">
        <f t="shared" si="62"/>
        <v>0.18029562254886261</v>
      </c>
      <c r="V47" s="7">
        <f t="shared" si="62"/>
        <v>0.18868023765582256</v>
      </c>
      <c r="W47" s="7">
        <f t="shared" si="62"/>
        <v>0.20276634820911141</v>
      </c>
      <c r="X47" s="7">
        <f t="shared" si="62"/>
        <v>0.21884797813848031</v>
      </c>
      <c r="Y47" s="7">
        <f t="shared" si="62"/>
        <v>0.23510100846585927</v>
      </c>
      <c r="Z47" s="7">
        <f t="shared" si="62"/>
        <v>0.25152561834975268</v>
      </c>
    </row>
    <row r="49" spans="1:26" x14ac:dyDescent="0.25">
      <c r="A49" s="1" t="s">
        <v>72</v>
      </c>
      <c r="B49" s="7"/>
      <c r="C49" s="7"/>
      <c r="D49" s="7"/>
      <c r="E49" s="7"/>
      <c r="F49" s="7">
        <f t="shared" ref="F49:J49" si="63">+F22/F16</f>
        <v>0.34051361212461406</v>
      </c>
      <c r="G49" s="7">
        <f t="shared" si="63"/>
        <v>0.31663974151857838</v>
      </c>
      <c r="H49" s="7">
        <f t="shared" si="63"/>
        <v>0.30219631236442518</v>
      </c>
      <c r="I49" s="7">
        <f t="shared" si="63"/>
        <v>0.27570335423738568</v>
      </c>
      <c r="J49" s="7">
        <f t="shared" si="63"/>
        <v>0.34395961551759907</v>
      </c>
      <c r="K49" s="7">
        <f>+K22/K16</f>
        <v>0.31314604603969814</v>
      </c>
      <c r="L49" s="7"/>
      <c r="M49" s="7"/>
      <c r="N49" s="7"/>
      <c r="O49" s="7"/>
      <c r="P49" s="7">
        <f t="shared" ref="P49:R49" si="64">+P22/P16</f>
        <v>0.32684695994838797</v>
      </c>
      <c r="Q49" s="7">
        <f t="shared" si="64"/>
        <v>0.30743433008425575</v>
      </c>
      <c r="R49" s="7">
        <f t="shared" si="64"/>
        <v>0.30719366311024893</v>
      </c>
      <c r="S49" s="7">
        <f t="shared" ref="S49:Z49" si="65">+S22/S16</f>
        <v>0.307</v>
      </c>
      <c r="T49" s="7">
        <f t="shared" si="65"/>
        <v>0.23403128486806421</v>
      </c>
      <c r="U49" s="7">
        <f t="shared" si="65"/>
        <v>0.22854541550461011</v>
      </c>
      <c r="V49" s="7">
        <f t="shared" si="65"/>
        <v>0.22317865299660428</v>
      </c>
      <c r="W49" s="7">
        <f t="shared" si="65"/>
        <v>0.21792882736520469</v>
      </c>
      <c r="X49" s="7">
        <f t="shared" si="65"/>
        <v>0.21279378583935304</v>
      </c>
      <c r="Y49" s="7">
        <f t="shared" si="65"/>
        <v>0.20777139423308044</v>
      </c>
      <c r="Z49" s="7">
        <f t="shared" si="65"/>
        <v>0.20285953819739028</v>
      </c>
    </row>
    <row r="50" spans="1:26" x14ac:dyDescent="0.25">
      <c r="A50" s="1" t="s">
        <v>73</v>
      </c>
      <c r="B50" s="7"/>
      <c r="C50" s="7"/>
      <c r="D50" s="7"/>
      <c r="E50" s="7"/>
      <c r="F50" s="7">
        <f t="shared" ref="F50:J50" si="66">+F23/F16</f>
        <v>0.11612405276452428</v>
      </c>
      <c r="G50" s="7">
        <f t="shared" si="66"/>
        <v>0.10901453957996769</v>
      </c>
      <c r="H50" s="7">
        <f t="shared" si="66"/>
        <v>0.11422180043383948</v>
      </c>
      <c r="I50" s="7">
        <f t="shared" si="66"/>
        <v>0.10056958748058224</v>
      </c>
      <c r="J50" s="7">
        <f t="shared" si="66"/>
        <v>0.12419611368508401</v>
      </c>
      <c r="K50" s="7">
        <f>+K23/K16</f>
        <v>0.11668463440928403</v>
      </c>
      <c r="L50" s="7"/>
      <c r="M50" s="7"/>
      <c r="N50" s="7"/>
      <c r="O50" s="7"/>
      <c r="P50" s="7">
        <f t="shared" ref="P50:R50" si="67">+P23/P16</f>
        <v>0.11312793150947673</v>
      </c>
      <c r="Q50" s="7">
        <f t="shared" si="67"/>
        <v>0.10849165702957211</v>
      </c>
      <c r="R50" s="7">
        <f t="shared" si="67"/>
        <v>0.10952150016165535</v>
      </c>
      <c r="S50" s="7">
        <f t="shared" ref="S50:Z50" si="68">+S23/S16</f>
        <v>0.11</v>
      </c>
      <c r="T50" s="7">
        <f t="shared" si="68"/>
        <v>0.10691494365715311</v>
      </c>
      <c r="U50" s="7">
        <f t="shared" si="68"/>
        <v>0.10440877695283897</v>
      </c>
      <c r="V50" s="7">
        <f t="shared" si="68"/>
        <v>0.10195702307092427</v>
      </c>
      <c r="W50" s="7">
        <f t="shared" si="68"/>
        <v>9.9558690677426578E-2</v>
      </c>
      <c r="X50" s="7">
        <f t="shared" si="68"/>
        <v>9.7212796299574147E-2</v>
      </c>
      <c r="Y50" s="7">
        <f t="shared" si="68"/>
        <v>9.4918364955014767E-2</v>
      </c>
      <c r="Z50" s="7">
        <f t="shared" si="68"/>
        <v>9.2674430723726345E-2</v>
      </c>
    </row>
    <row r="52" spans="1:26" x14ac:dyDescent="0.25">
      <c r="A52" s="1" t="s">
        <v>35</v>
      </c>
      <c r="B52" s="2"/>
      <c r="C52" s="2"/>
      <c r="D52" s="2"/>
      <c r="E52" s="2"/>
      <c r="F52" s="2">
        <v>927</v>
      </c>
      <c r="G52" s="2">
        <f>2511-F52</f>
        <v>1584</v>
      </c>
      <c r="H52" s="2">
        <f>4214-G52-F52</f>
        <v>1703</v>
      </c>
      <c r="I52" s="2">
        <f>+R52-H52-G52-F52</f>
        <v>3299</v>
      </c>
      <c r="J52" s="2">
        <v>1605</v>
      </c>
      <c r="K52" s="2">
        <f>3439-J52</f>
        <v>1834</v>
      </c>
      <c r="P52" s="2">
        <f t="shared" ref="P52:Q52" si="69">+P30</f>
        <v>4713</v>
      </c>
      <c r="Q52" s="2">
        <f t="shared" si="69"/>
        <v>1782</v>
      </c>
      <c r="R52" s="2">
        <f>+R30</f>
        <v>7513</v>
      </c>
    </row>
    <row r="53" spans="1:26" x14ac:dyDescent="0.25">
      <c r="A53" s="1" t="s">
        <v>69</v>
      </c>
      <c r="B53" s="2"/>
      <c r="C53" s="2"/>
      <c r="D53" s="2"/>
      <c r="E53" s="2"/>
      <c r="F53" s="2"/>
      <c r="G53" s="2"/>
      <c r="H53" s="2"/>
      <c r="I53" s="2"/>
      <c r="J53" s="2"/>
      <c r="K53" s="2"/>
      <c r="P53" s="2"/>
      <c r="Q53" s="2">
        <v>5894</v>
      </c>
      <c r="R53" s="2"/>
    </row>
    <row r="54" spans="1:26" x14ac:dyDescent="0.25">
      <c r="A54" s="1" t="s">
        <v>43</v>
      </c>
      <c r="B54" s="2"/>
      <c r="C54" s="2"/>
      <c r="D54" s="2"/>
      <c r="E54" s="2"/>
      <c r="F54" s="2">
        <v>527</v>
      </c>
      <c r="G54" s="2">
        <f>1047-F54</f>
        <v>520</v>
      </c>
      <c r="H54" s="2">
        <f>1568-G54-F54</f>
        <v>521</v>
      </c>
      <c r="I54" s="2">
        <f t="shared" ref="I54:I56" si="70">+R54-H54-G54-F54</f>
        <v>541</v>
      </c>
      <c r="J54" s="2">
        <v>533</v>
      </c>
      <c r="K54" s="2">
        <f>1081-J54</f>
        <v>548</v>
      </c>
      <c r="P54" s="2">
        <v>3888</v>
      </c>
      <c r="Q54" s="2">
        <v>2407</v>
      </c>
      <c r="R54" s="2">
        <v>2109</v>
      </c>
    </row>
    <row r="55" spans="1:26" x14ac:dyDescent="0.25">
      <c r="A55" s="1" t="s">
        <v>44</v>
      </c>
      <c r="B55" s="2"/>
      <c r="C55" s="2"/>
      <c r="D55" s="2"/>
      <c r="E55" s="2"/>
      <c r="F55" s="2">
        <v>547</v>
      </c>
      <c r="G55" s="2">
        <f>1104-F55</f>
        <v>557</v>
      </c>
      <c r="H55" s="2">
        <f>1676-F55-G55</f>
        <v>572</v>
      </c>
      <c r="I55" s="2">
        <f t="shared" si="70"/>
        <v>611</v>
      </c>
      <c r="J55" s="2">
        <v>598</v>
      </c>
      <c r="K55" s="2">
        <f>1205-J55</f>
        <v>607</v>
      </c>
      <c r="P55" s="2">
        <v>2529</v>
      </c>
      <c r="Q55" s="2">
        <v>2395</v>
      </c>
      <c r="R55" s="2">
        <v>2287</v>
      </c>
    </row>
    <row r="56" spans="1:26" x14ac:dyDescent="0.25">
      <c r="A56" s="1" t="s">
        <v>45</v>
      </c>
      <c r="B56" s="2"/>
      <c r="C56" s="2"/>
      <c r="D56" s="2"/>
      <c r="E56" s="2"/>
      <c r="F56" s="2">
        <v>268</v>
      </c>
      <c r="G56" s="2">
        <f>556-F56</f>
        <v>288</v>
      </c>
      <c r="H56" s="2">
        <f>843-F56-G56</f>
        <v>287</v>
      </c>
      <c r="I56" s="2">
        <f t="shared" si="70"/>
        <v>290</v>
      </c>
      <c r="J56" s="2">
        <v>320</v>
      </c>
      <c r="K56" s="2">
        <f>636-J56</f>
        <v>316</v>
      </c>
      <c r="P56" s="2">
        <v>982</v>
      </c>
      <c r="Q56" s="2">
        <v>987</v>
      </c>
      <c r="R56" s="2">
        <v>1133</v>
      </c>
    </row>
    <row r="57" spans="1:26" x14ac:dyDescent="0.25">
      <c r="A57" s="1" t="s">
        <v>70</v>
      </c>
      <c r="B57" s="2"/>
      <c r="C57" s="2"/>
      <c r="D57" s="2"/>
      <c r="E57" s="2"/>
      <c r="F57" s="2"/>
      <c r="G57" s="2"/>
      <c r="H57" s="2"/>
      <c r="I57" s="2">
        <f>+R57-H57-G57-F57</f>
        <v>-1114</v>
      </c>
      <c r="J57" s="2"/>
      <c r="K57" s="2"/>
      <c r="P57" s="2">
        <v>-2001</v>
      </c>
      <c r="Q57" s="2">
        <v>-2726</v>
      </c>
      <c r="R57" s="2">
        <v>-1114</v>
      </c>
    </row>
    <row r="58" spans="1:26" x14ac:dyDescent="0.25">
      <c r="A58" s="1" t="s">
        <v>46</v>
      </c>
      <c r="B58" s="2"/>
      <c r="C58" s="2"/>
      <c r="D58" s="2"/>
      <c r="E58" s="2"/>
      <c r="F58" s="2">
        <v>-5</v>
      </c>
      <c r="G58" s="2">
        <f>-19-F58</f>
        <v>-14</v>
      </c>
      <c r="H58" s="2">
        <f>-89-F58-G58</f>
        <v>-70</v>
      </c>
      <c r="I58" s="2">
        <f t="shared" ref="I58:I59" si="71">+R58-H58-G58-F58</f>
        <v>-81</v>
      </c>
      <c r="J58" s="2">
        <v>-253</v>
      </c>
      <c r="K58" s="2">
        <v>-280</v>
      </c>
      <c r="P58" s="2">
        <v>-136</v>
      </c>
      <c r="Q58" s="2">
        <v>-363</v>
      </c>
      <c r="R58" s="2">
        <v>-170</v>
      </c>
    </row>
    <row r="59" spans="1:26" x14ac:dyDescent="0.25">
      <c r="A59" s="1" t="s">
        <v>47</v>
      </c>
      <c r="B59" s="2"/>
      <c r="C59" s="2"/>
      <c r="D59" s="2"/>
      <c r="E59" s="2"/>
      <c r="F59" s="2">
        <v>1509</v>
      </c>
      <c r="G59" s="2">
        <f>1214-F59</f>
        <v>-295</v>
      </c>
      <c r="H59" s="2">
        <f>1257-F59-G59</f>
        <v>43</v>
      </c>
      <c r="I59" s="2">
        <f t="shared" si="71"/>
        <v>927</v>
      </c>
      <c r="J59" s="2">
        <v>1365</v>
      </c>
      <c r="K59" s="2">
        <f>152-J59</f>
        <v>-1213</v>
      </c>
      <c r="P59" s="2">
        <f>1372+1038+138-842+85</f>
        <v>1791</v>
      </c>
      <c r="Q59" s="2">
        <f>-539+331+71+126+213</f>
        <v>202</v>
      </c>
      <c r="R59" s="2">
        <f>725-462+390+1466+65</f>
        <v>2184</v>
      </c>
    </row>
    <row r="60" spans="1:26" x14ac:dyDescent="0.25">
      <c r="A60" s="1" t="s">
        <v>48</v>
      </c>
      <c r="B60" s="2"/>
      <c r="C60" s="2"/>
      <c r="D60" s="2"/>
      <c r="E60" s="2"/>
      <c r="F60" s="2">
        <f t="shared" ref="F60" si="72">+SUM(F52:F59)</f>
        <v>3773</v>
      </c>
      <c r="G60" s="2">
        <f>+SUM(G52:G59)</f>
        <v>2640</v>
      </c>
      <c r="H60" s="2">
        <f t="shared" ref="H60" si="73">+SUM(H52:H59)</f>
        <v>3056</v>
      </c>
      <c r="I60" s="2">
        <f t="shared" ref="I60" si="74">+SUM(I52:I59)</f>
        <v>4473</v>
      </c>
      <c r="J60" s="2">
        <f t="shared" ref="J60" si="75">+SUM(J52:J59)</f>
        <v>4168</v>
      </c>
      <c r="K60" s="2">
        <f>+SUM(K52:K59)</f>
        <v>1812</v>
      </c>
      <c r="P60" s="2">
        <f t="shared" ref="P60:Q60" si="76">+SUM(P52:P59)</f>
        <v>11766</v>
      </c>
      <c r="Q60" s="2">
        <f t="shared" si="76"/>
        <v>10578</v>
      </c>
      <c r="R60" s="2">
        <f>+SUM(R52:R59)</f>
        <v>13942</v>
      </c>
    </row>
    <row r="61" spans="1:26" x14ac:dyDescent="0.25">
      <c r="B61" s="2"/>
      <c r="C61" s="2"/>
      <c r="D61" s="2"/>
      <c r="E61" s="2"/>
      <c r="F61" s="2"/>
      <c r="G61" s="2"/>
      <c r="H61" s="2"/>
      <c r="I61" s="2"/>
      <c r="J61" s="2"/>
      <c r="K61" s="2"/>
      <c r="P61" s="2"/>
      <c r="Q61" s="2"/>
      <c r="R61" s="2"/>
    </row>
    <row r="62" spans="1:26" x14ac:dyDescent="0.25">
      <c r="A62" s="1" t="s">
        <v>49</v>
      </c>
      <c r="B62" s="2"/>
      <c r="C62" s="2"/>
      <c r="D62" s="2"/>
      <c r="E62" s="2"/>
      <c r="F62" s="2">
        <v>-300</v>
      </c>
      <c r="G62" s="2">
        <f>-664-F62</f>
        <v>-364</v>
      </c>
      <c r="H62" s="2">
        <f>-945-F62-G62</f>
        <v>-281</v>
      </c>
      <c r="I62" s="2">
        <f t="shared" ref="I62:I68" si="77">+R62-H62-G62-F62</f>
        <v>-300</v>
      </c>
      <c r="J62" s="2">
        <v>-239</v>
      </c>
      <c r="K62" s="2">
        <f>-459-J62</f>
        <v>-220</v>
      </c>
      <c r="P62" s="2">
        <v>-2062</v>
      </c>
      <c r="Q62" s="2">
        <v>-1346</v>
      </c>
      <c r="R62" s="2">
        <v>-1245</v>
      </c>
    </row>
    <row r="63" spans="1:26" x14ac:dyDescent="0.25">
      <c r="A63" s="1" t="s">
        <v>50</v>
      </c>
      <c r="B63" s="2"/>
      <c r="C63" s="2"/>
      <c r="D63" s="2"/>
      <c r="E63" s="2"/>
      <c r="F63" s="2">
        <v>11</v>
      </c>
      <c r="G63" s="2">
        <f>25-F63</f>
        <v>14</v>
      </c>
      <c r="H63" s="2">
        <f>137-F63-G63</f>
        <v>112</v>
      </c>
      <c r="I63" s="2">
        <f t="shared" si="77"/>
        <v>184</v>
      </c>
      <c r="J63" s="2">
        <v>12</v>
      </c>
      <c r="K63" s="2">
        <f>57-J63</f>
        <v>45</v>
      </c>
      <c r="P63" s="2">
        <v>387</v>
      </c>
      <c r="Q63" s="2">
        <v>111</v>
      </c>
      <c r="R63" s="2">
        <v>321</v>
      </c>
    </row>
    <row r="64" spans="1:26" x14ac:dyDescent="0.25">
      <c r="A64" s="1" t="s">
        <v>51</v>
      </c>
      <c r="B64" s="2"/>
      <c r="C64" s="2"/>
      <c r="D64" s="2"/>
      <c r="E64" s="2"/>
      <c r="F64" s="2">
        <v>-168</v>
      </c>
      <c r="G64" s="2">
        <f>-305-F64</f>
        <v>-137</v>
      </c>
      <c r="H64" s="2">
        <f>-417-F64-G64</f>
        <v>-112</v>
      </c>
      <c r="I64" s="2">
        <f t="shared" si="77"/>
        <v>-148</v>
      </c>
      <c r="J64" s="2">
        <v>-134</v>
      </c>
      <c r="K64" s="2">
        <f>-358-J64</f>
        <v>-224</v>
      </c>
      <c r="P64" s="2">
        <v>-706</v>
      </c>
      <c r="Q64" s="2">
        <v>-626</v>
      </c>
      <c r="R64" s="2">
        <v>-565</v>
      </c>
    </row>
    <row r="65" spans="1:18" x14ac:dyDescent="0.25">
      <c r="A65" s="1" t="s">
        <v>52</v>
      </c>
      <c r="B65" s="2"/>
      <c r="C65" s="2"/>
      <c r="D65" s="2"/>
      <c r="E65" s="2"/>
      <c r="F65" s="2">
        <v>-22</v>
      </c>
      <c r="G65" s="2">
        <f>-356-F65</f>
        <v>-334</v>
      </c>
      <c r="H65" s="2">
        <f>-4945-F65-G65</f>
        <v>-4589</v>
      </c>
      <c r="I65" s="2">
        <f t="shared" si="77"/>
        <v>-6198</v>
      </c>
      <c r="J65" s="2">
        <v>-82</v>
      </c>
      <c r="K65" s="2">
        <f>-235-J65</f>
        <v>-153</v>
      </c>
      <c r="P65" s="13">
        <v>-3561</v>
      </c>
      <c r="Q65" s="13">
        <v>-5930</v>
      </c>
      <c r="R65" s="13">
        <v>-11143</v>
      </c>
    </row>
    <row r="66" spans="1:18" x14ac:dyDescent="0.25">
      <c r="A66" s="1" t="s">
        <v>53</v>
      </c>
      <c r="B66" s="2"/>
      <c r="C66" s="2"/>
      <c r="D66" s="2"/>
      <c r="E66" s="2"/>
      <c r="F66" s="2"/>
      <c r="G66" s="2">
        <f>6-F66</f>
        <v>6</v>
      </c>
      <c r="H66" s="2">
        <f>-4-G66-F66</f>
        <v>-10</v>
      </c>
      <c r="I66" s="2">
        <f t="shared" si="77"/>
        <v>10651</v>
      </c>
      <c r="J66" s="2">
        <v>703</v>
      </c>
      <c r="K66" s="2">
        <f>703-J66</f>
        <v>0</v>
      </c>
      <c r="P66" s="2">
        <v>3147</v>
      </c>
      <c r="Q66" s="2">
        <v>4665</v>
      </c>
      <c r="R66" s="2">
        <v>10647</v>
      </c>
    </row>
    <row r="67" spans="1:18" x14ac:dyDescent="0.25">
      <c r="A67" s="1" t="s">
        <v>54</v>
      </c>
      <c r="B67" s="2"/>
      <c r="C67" s="2"/>
      <c r="D67" s="2"/>
      <c r="E67" s="2"/>
      <c r="F67" s="2">
        <v>-8531</v>
      </c>
      <c r="G67" s="2">
        <f>-9260-F67</f>
        <v>-729</v>
      </c>
      <c r="H67" s="2">
        <f>-10374-G67-F67</f>
        <v>-1114</v>
      </c>
      <c r="I67" s="2">
        <f t="shared" si="77"/>
        <v>5292</v>
      </c>
      <c r="J67" s="2">
        <v>-4934</v>
      </c>
      <c r="K67" s="2">
        <f>-5596-J67</f>
        <v>-662</v>
      </c>
      <c r="P67" s="2">
        <v>-3293</v>
      </c>
      <c r="Q67" s="2">
        <v>-2348</v>
      </c>
      <c r="R67" s="2">
        <v>-5082</v>
      </c>
    </row>
    <row r="68" spans="1:18" x14ac:dyDescent="0.25">
      <c r="A68" s="1" t="s">
        <v>55</v>
      </c>
      <c r="B68" s="2"/>
      <c r="C68" s="2"/>
      <c r="D68" s="2"/>
      <c r="E68" s="2"/>
      <c r="F68" s="2">
        <v>1050</v>
      </c>
      <c r="G68" s="2">
        <f>2600-F68</f>
        <v>1550</v>
      </c>
      <c r="H68" s="2">
        <f>6642-F68-G68</f>
        <v>4042</v>
      </c>
      <c r="I68" s="2">
        <f t="shared" si="77"/>
        <v>-6646</v>
      </c>
      <c r="J68" s="2">
        <v>464</v>
      </c>
      <c r="K68" s="2">
        <f>3917-J68</f>
        <v>3453</v>
      </c>
      <c r="P68" s="2">
        <v>114</v>
      </c>
      <c r="Q68" s="2">
        <v>1272</v>
      </c>
      <c r="R68" s="2">
        <v>-4</v>
      </c>
    </row>
    <row r="69" spans="1:18" x14ac:dyDescent="0.25">
      <c r="A69" s="1" t="s">
        <v>56</v>
      </c>
      <c r="B69" s="2"/>
      <c r="C69" s="2"/>
      <c r="D69" s="2"/>
      <c r="E69" s="2"/>
      <c r="F69" s="2">
        <f t="shared" ref="F69" si="78">+SUM(F62:F68)</f>
        <v>-7960</v>
      </c>
      <c r="G69" s="2">
        <f>+SUM(G62:G68)</f>
        <v>6</v>
      </c>
      <c r="H69" s="2">
        <f t="shared" ref="H69" si="79">+SUM(H62:H68)</f>
        <v>-1952</v>
      </c>
      <c r="I69" s="2">
        <f t="shared" ref="I69" si="80">+SUM(I62:I68)</f>
        <v>2835</v>
      </c>
      <c r="J69" s="2">
        <f t="shared" ref="J69" si="81">+SUM(J62:J68)</f>
        <v>-4210</v>
      </c>
      <c r="K69" s="2">
        <f>+SUM(K62:K68)</f>
        <v>2239</v>
      </c>
      <c r="P69" s="2">
        <f t="shared" ref="P69:R69" si="82">+SUM(P62:P68)</f>
        <v>-5974</v>
      </c>
      <c r="Q69" s="2">
        <f t="shared" si="82"/>
        <v>-4202</v>
      </c>
      <c r="R69" s="2">
        <f t="shared" si="82"/>
        <v>-7071</v>
      </c>
    </row>
    <row r="70" spans="1:18" x14ac:dyDescent="0.25">
      <c r="B70" s="2"/>
      <c r="C70" s="2"/>
      <c r="D70" s="2"/>
      <c r="E70" s="2"/>
      <c r="F70" s="2"/>
      <c r="G70" s="2"/>
      <c r="H70" s="2"/>
      <c r="I70" s="2"/>
      <c r="J70" s="2"/>
      <c r="K70" s="2"/>
      <c r="P70" s="2"/>
      <c r="Q70" s="2"/>
      <c r="R70" s="2"/>
    </row>
    <row r="71" spans="1:18" x14ac:dyDescent="0.25">
      <c r="A71" s="1" t="s">
        <v>57</v>
      </c>
      <c r="B71" s="2"/>
      <c r="C71" s="2"/>
      <c r="D71" s="2"/>
      <c r="E71" s="2"/>
      <c r="F71" s="2">
        <v>9432</v>
      </c>
      <c r="G71" s="2">
        <f>9432-F71</f>
        <v>0</v>
      </c>
      <c r="H71" s="2">
        <f>9586-G71-F71</f>
        <v>154</v>
      </c>
      <c r="I71" s="2">
        <f t="shared" ref="I71:I77" si="83">+R71-H71-G71-F71</f>
        <v>0</v>
      </c>
      <c r="J71" s="2">
        <v>5486</v>
      </c>
      <c r="K71" s="2">
        <f>5705-J71</f>
        <v>219</v>
      </c>
      <c r="P71" s="2">
        <v>522</v>
      </c>
      <c r="Q71" s="2">
        <v>7804</v>
      </c>
      <c r="R71" s="2">
        <v>9586</v>
      </c>
    </row>
    <row r="72" spans="1:18" x14ac:dyDescent="0.25">
      <c r="A72" s="1" t="s">
        <v>58</v>
      </c>
      <c r="B72" s="2"/>
      <c r="C72" s="2"/>
      <c r="D72" s="2"/>
      <c r="E72" s="2"/>
      <c r="F72" s="2">
        <v>-2125</v>
      </c>
      <c r="G72" s="2">
        <f>-3260-F72</f>
        <v>-1135</v>
      </c>
      <c r="H72" s="2">
        <f>-4973-F72-G72</f>
        <v>-1713</v>
      </c>
      <c r="I72" s="2">
        <f t="shared" si="83"/>
        <v>-109</v>
      </c>
      <c r="J72" s="2">
        <v>-2106</v>
      </c>
      <c r="K72" s="2">
        <f>-5224-J72</f>
        <v>-3118</v>
      </c>
      <c r="P72" s="2">
        <v>-8597</v>
      </c>
      <c r="Q72" s="2">
        <v>-6800</v>
      </c>
      <c r="R72" s="2">
        <v>-5082</v>
      </c>
    </row>
    <row r="73" spans="1:18" x14ac:dyDescent="0.25">
      <c r="A73" s="1" t="s">
        <v>59</v>
      </c>
      <c r="B73" s="2"/>
      <c r="C73" s="2"/>
      <c r="D73" s="2"/>
      <c r="E73" s="2"/>
      <c r="F73" s="2">
        <v>-3</v>
      </c>
      <c r="G73" s="2">
        <f>-3-F73</f>
        <v>0</v>
      </c>
      <c r="H73" s="2">
        <f>6-F73-G73</f>
        <v>9</v>
      </c>
      <c r="I73" s="2">
        <f t="shared" si="83"/>
        <v>-13</v>
      </c>
      <c r="J73" s="2">
        <v>1</v>
      </c>
      <c r="K73" s="2"/>
      <c r="P73" s="2">
        <v>-40</v>
      </c>
      <c r="Q73" s="2">
        <v>217</v>
      </c>
      <c r="R73" s="2">
        <v>-7</v>
      </c>
    </row>
    <row r="74" spans="1:18" x14ac:dyDescent="0.25">
      <c r="A74" s="1" t="s">
        <v>60</v>
      </c>
      <c r="B74" s="2"/>
      <c r="C74" s="2"/>
      <c r="D74" s="2"/>
      <c r="E74" s="2"/>
      <c r="F74" s="2">
        <v>-96</v>
      </c>
      <c r="G74" s="2">
        <f>-240-F74</f>
        <v>-144</v>
      </c>
      <c r="H74" s="2">
        <f>-338-F74-G74</f>
        <v>-98</v>
      </c>
      <c r="I74" s="2">
        <f t="shared" si="83"/>
        <v>-64</v>
      </c>
      <c r="J74" s="2">
        <v>-199</v>
      </c>
      <c r="K74" s="2">
        <f>-350-J74</f>
        <v>-151</v>
      </c>
      <c r="P74" s="2">
        <v>-319</v>
      </c>
      <c r="Q74" s="2">
        <v>-407</v>
      </c>
      <c r="R74" s="2">
        <v>-402</v>
      </c>
    </row>
    <row r="75" spans="1:18" x14ac:dyDescent="0.25">
      <c r="A75" s="1" t="s">
        <v>61</v>
      </c>
      <c r="B75" s="2"/>
      <c r="C75" s="2"/>
      <c r="D75" s="2"/>
      <c r="E75" s="2"/>
      <c r="F75" s="2">
        <v>-3</v>
      </c>
      <c r="G75" s="2">
        <f>56-F75</f>
        <v>59</v>
      </c>
      <c r="H75" s="2">
        <f>86-F75-G75</f>
        <v>30</v>
      </c>
      <c r="I75" s="2">
        <f t="shared" si="83"/>
        <v>90</v>
      </c>
      <c r="J75" s="2">
        <v>216</v>
      </c>
      <c r="K75" s="2">
        <f>289-J75</f>
        <v>73</v>
      </c>
      <c r="P75" s="2">
        <v>70</v>
      </c>
      <c r="Q75" s="2">
        <v>176</v>
      </c>
      <c r="R75" s="2">
        <v>176</v>
      </c>
    </row>
    <row r="76" spans="1:18" x14ac:dyDescent="0.25">
      <c r="A76" s="1" t="s">
        <v>71</v>
      </c>
      <c r="B76" s="2"/>
      <c r="C76" s="2"/>
      <c r="D76" s="2"/>
      <c r="E76" s="2"/>
      <c r="F76" s="2"/>
      <c r="G76" s="2"/>
      <c r="H76" s="2"/>
      <c r="I76" s="2">
        <f t="shared" si="83"/>
        <v>0</v>
      </c>
      <c r="J76" s="2"/>
      <c r="K76" s="2"/>
      <c r="P76" s="2">
        <v>879</v>
      </c>
      <c r="Q76" s="2"/>
      <c r="R76" s="2"/>
    </row>
    <row r="77" spans="1:18" x14ac:dyDescent="0.25">
      <c r="A77" s="1" t="s">
        <v>62</v>
      </c>
      <c r="B77" s="2"/>
      <c r="C77" s="2"/>
      <c r="D77" s="2"/>
      <c r="E77" s="2"/>
      <c r="F77" s="2">
        <v>-1497</v>
      </c>
      <c r="G77" s="2">
        <f>-3007-F77</f>
        <v>-1510</v>
      </c>
      <c r="H77" s="2">
        <f>-4522-G77-F77</f>
        <v>-1515</v>
      </c>
      <c r="I77" s="2">
        <f t="shared" si="83"/>
        <v>-1518</v>
      </c>
      <c r="J77" s="2">
        <v>-1522</v>
      </c>
      <c r="K77" s="2">
        <f>-3058-J77</f>
        <v>-1536</v>
      </c>
      <c r="P77" s="2">
        <v>-5869</v>
      </c>
      <c r="Q77" s="2">
        <v>-5948</v>
      </c>
      <c r="R77" s="2">
        <v>-6040</v>
      </c>
    </row>
    <row r="78" spans="1:18" x14ac:dyDescent="0.25">
      <c r="A78" s="1" t="s">
        <v>63</v>
      </c>
      <c r="B78" s="2"/>
      <c r="C78" s="2"/>
      <c r="D78" s="2"/>
      <c r="E78" s="2"/>
      <c r="F78" s="2">
        <f t="shared" ref="F78:J78" si="84">+SUM(F71:F77)</f>
        <v>5708</v>
      </c>
      <c r="G78" s="2">
        <f t="shared" si="84"/>
        <v>-2730</v>
      </c>
      <c r="H78" s="2">
        <f t="shared" si="84"/>
        <v>-3133</v>
      </c>
      <c r="I78" s="2">
        <f t="shared" si="84"/>
        <v>-1614</v>
      </c>
      <c r="J78" s="2">
        <f t="shared" si="84"/>
        <v>1876</v>
      </c>
      <c r="K78" s="2">
        <f>+SUM(K71:K77)</f>
        <v>-4513</v>
      </c>
      <c r="P78" s="2">
        <f>+SUM(P71:P77)</f>
        <v>-13354</v>
      </c>
      <c r="Q78" s="2">
        <f>+SUM(Q71:Q77)</f>
        <v>-4958</v>
      </c>
      <c r="R78" s="2">
        <f>+SUM(R71:R77)</f>
        <v>-1769</v>
      </c>
    </row>
    <row r="79" spans="1:18" x14ac:dyDescent="0.25">
      <c r="A79" s="1" t="s">
        <v>64</v>
      </c>
      <c r="B79" s="2"/>
      <c r="C79" s="2"/>
      <c r="D79" s="2"/>
      <c r="E79" s="2"/>
      <c r="F79" s="2">
        <v>24</v>
      </c>
      <c r="G79" s="2">
        <f>-1-F79</f>
        <v>-25</v>
      </c>
      <c r="H79" s="2">
        <f>-120-G79-F79</f>
        <v>-119</v>
      </c>
      <c r="I79" s="2">
        <f>+R79-H79-G79-F79</f>
        <v>129</v>
      </c>
      <c r="J79" s="2">
        <v>-159</v>
      </c>
      <c r="K79" s="2">
        <f>-236-J79</f>
        <v>-77</v>
      </c>
      <c r="P79" s="2">
        <v>-185</v>
      </c>
      <c r="Q79" s="2">
        <v>-244</v>
      </c>
      <c r="R79" s="2">
        <v>9</v>
      </c>
    </row>
    <row r="80" spans="1:18" x14ac:dyDescent="0.25">
      <c r="A80" s="1" t="s">
        <v>65</v>
      </c>
      <c r="B80" s="2"/>
      <c r="C80" s="2"/>
      <c r="D80" s="2"/>
      <c r="E80" s="2"/>
      <c r="F80" s="2">
        <f t="shared" ref="F80" si="85">+F60+F69+F78+F79</f>
        <v>1545</v>
      </c>
      <c r="G80" s="2">
        <f>+G60+G69+G78+G79</f>
        <v>-109</v>
      </c>
      <c r="H80" s="2">
        <f t="shared" ref="H80:I80" si="86">+H60+H69+H78+H79</f>
        <v>-2148</v>
      </c>
      <c r="I80" s="2">
        <f t="shared" si="86"/>
        <v>5823</v>
      </c>
      <c r="J80" s="2">
        <f t="shared" ref="J80" si="87">+J60+J69+J78+J79</f>
        <v>1675</v>
      </c>
      <c r="K80" s="2">
        <f>+K60+K69+K78+K79</f>
        <v>-539</v>
      </c>
      <c r="P80" s="2">
        <f t="shared" ref="P80:Q80" si="88">+P60+P69+P78+P79</f>
        <v>-7747</v>
      </c>
      <c r="Q80" s="2">
        <f t="shared" si="88"/>
        <v>1174</v>
      </c>
      <c r="R80" s="2">
        <f>+R60+R69+R78+R79</f>
        <v>5111</v>
      </c>
    </row>
    <row r="81" spans="1:26" x14ac:dyDescent="0.25">
      <c r="P81" s="2"/>
      <c r="Q81" s="2"/>
      <c r="R81" s="2"/>
    </row>
    <row r="82" spans="1:26" x14ac:dyDescent="0.25">
      <c r="A82" s="3" t="s">
        <v>66</v>
      </c>
      <c r="B82" s="3"/>
      <c r="C82" s="3"/>
      <c r="D82" s="3"/>
      <c r="E82" s="3"/>
      <c r="F82" s="4">
        <f t="shared" ref="F82" si="89">+F60+F62+F64</f>
        <v>3305</v>
      </c>
      <c r="G82" s="4">
        <f>+G60+G62+G64</f>
        <v>2139</v>
      </c>
      <c r="H82" s="4">
        <f t="shared" ref="H82:I82" si="90">+H60+H62+H64</f>
        <v>2663</v>
      </c>
      <c r="I82" s="4">
        <f t="shared" si="90"/>
        <v>4025</v>
      </c>
      <c r="J82" s="4">
        <f t="shared" ref="J82" si="91">+J60+J62+J64</f>
        <v>3795</v>
      </c>
      <c r="K82" s="4">
        <f>+K60+K62+K64</f>
        <v>1368</v>
      </c>
      <c r="L82" s="3"/>
      <c r="M82" s="3"/>
      <c r="N82" s="3"/>
      <c r="O82" s="3"/>
      <c r="P82" s="4">
        <f t="shared" ref="P82" si="92">+P60+P62+P64</f>
        <v>8998</v>
      </c>
      <c r="Q82" s="4">
        <f>+Q60+Q62+Q64</f>
        <v>8606</v>
      </c>
      <c r="R82" s="4">
        <f>+R60+R62+R64</f>
        <v>12132</v>
      </c>
    </row>
    <row r="83" spans="1:26" x14ac:dyDescent="0.25">
      <c r="A83" s="3" t="s">
        <v>81</v>
      </c>
      <c r="B83" s="3"/>
      <c r="C83" s="3"/>
      <c r="D83" s="3"/>
      <c r="E83" s="3"/>
      <c r="F83" s="4"/>
      <c r="G83" s="4"/>
      <c r="H83" s="4"/>
      <c r="I83" s="4">
        <f t="shared" ref="I83" si="93">+SUM(F82:I82)</f>
        <v>12132</v>
      </c>
      <c r="J83" s="4">
        <f t="shared" ref="J83" si="94">+SUM(G82:J82)</f>
        <v>12622</v>
      </c>
      <c r="K83" s="4">
        <f>+SUM(H82:K82)</f>
        <v>11851</v>
      </c>
      <c r="L83" s="3"/>
      <c r="M83" s="3"/>
      <c r="N83" s="3"/>
      <c r="O83" s="3"/>
      <c r="P83" s="4"/>
      <c r="Q83" s="4"/>
      <c r="R83" s="4"/>
    </row>
    <row r="84" spans="1:26" x14ac:dyDescent="0.25">
      <c r="A84" s="1" t="s">
        <v>68</v>
      </c>
      <c r="F84" s="7">
        <f>+F56/F82</f>
        <v>8.1089258698941E-2</v>
      </c>
      <c r="G84" s="7">
        <f t="shared" ref="G84:K84" si="95">+G56/G82</f>
        <v>0.13464235624123422</v>
      </c>
      <c r="H84" s="7">
        <f t="shared" si="95"/>
        <v>0.10777318813368382</v>
      </c>
      <c r="I84" s="7">
        <f t="shared" si="95"/>
        <v>7.2049689440993783E-2</v>
      </c>
      <c r="J84" s="7">
        <f t="shared" si="95"/>
        <v>8.4321475625823455E-2</v>
      </c>
      <c r="K84" s="7">
        <f t="shared" si="95"/>
        <v>0.23099415204678361</v>
      </c>
      <c r="P84" s="7">
        <f t="shared" ref="P84" si="96">+P56/P82</f>
        <v>0.10913536341409202</v>
      </c>
      <c r="Q84" s="7">
        <f t="shared" ref="Q84" si="97">+Q56/Q82</f>
        <v>0.11468742737624912</v>
      </c>
      <c r="R84" s="7">
        <f t="shared" ref="R84" si="98">+R56/R82</f>
        <v>9.3389383448730628E-2</v>
      </c>
    </row>
    <row r="86" spans="1:26" x14ac:dyDescent="0.25">
      <c r="A86" s="1" t="s">
        <v>67</v>
      </c>
      <c r="B86" s="2"/>
      <c r="C86" s="2"/>
      <c r="D86" s="2"/>
      <c r="E86" s="2"/>
      <c r="F86" s="2"/>
      <c r="G86" s="2">
        <f>13068+373+6102+692+1626-6426-50121</f>
        <v>-34686</v>
      </c>
      <c r="H86" s="2"/>
      <c r="I86" s="2"/>
      <c r="J86" s="2"/>
      <c r="K86" s="2">
        <f>12210+1481+5075+723+1840-3602-52929</f>
        <v>-35202</v>
      </c>
      <c r="P86" s="2"/>
      <c r="Q86" s="2">
        <f>7886+852+6851+939+1617-4760-46189</f>
        <v>-32804</v>
      </c>
      <c r="R86" s="2">
        <f>13068+373+6102+692+1626-6426-50121</f>
        <v>-34686</v>
      </c>
      <c r="S86" s="2">
        <f>+R86+S30</f>
        <v>-27861.557867499996</v>
      </c>
      <c r="T86" s="2">
        <f t="shared" ref="T86:Z86" si="99">+S86+T30</f>
        <v>-16154.483786999983</v>
      </c>
      <c r="U86" s="2">
        <f t="shared" si="99"/>
        <v>-3325.4497371649759</v>
      </c>
      <c r="V86" s="2">
        <f t="shared" si="99"/>
        <v>10698.01166943448</v>
      </c>
      <c r="W86" s="2">
        <f t="shared" si="99"/>
        <v>26440.117600501238</v>
      </c>
      <c r="X86" s="2">
        <f t="shared" si="99"/>
        <v>44188.770738066582</v>
      </c>
      <c r="Y86" s="2">
        <f t="shared" si="99"/>
        <v>64106.999424892783</v>
      </c>
      <c r="Z86" s="2">
        <f t="shared" si="99"/>
        <v>86369.243556188492</v>
      </c>
    </row>
    <row r="88" spans="1:26" x14ac:dyDescent="0.25">
      <c r="I88" s="2"/>
    </row>
  </sheetData>
  <pageMargins left="0.7" right="0.7" top="0.75" bottom="0.75" header="0.3" footer="0.3"/>
  <drawing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main</vt:lpstr>
      <vt:lpstr>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alexandreduartemorais@gmail.com</dc:creator>
  <cp:lastModifiedBy>Alexandre Duarte Morais</cp:lastModifiedBy>
  <dcterms:created xsi:type="dcterms:W3CDTF">2024-09-22T20:25:08Z</dcterms:created>
  <dcterms:modified xsi:type="dcterms:W3CDTF">2024-09-26T23:35:16Z</dcterms:modified>
</cp:coreProperties>
</file>