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"/>
    </mc:Choice>
  </mc:AlternateContent>
  <xr:revisionPtr revIDLastSave="38" documentId="13_ncr:1_{E29683AF-894B-4B05-9A52-0C3647126886}" xr6:coauthVersionLast="47" xr6:coauthVersionMax="47" xr10:uidLastSave="{645FEFCE-85BB-46D0-907E-BFAD85664A5C}"/>
  <bookViews>
    <workbookView xWindow="-120" yWindow="-120" windowWidth="29040" windowHeight="15720" firstSheet="1" activeTab="1" xr2:uid="{791A0C66-85F1-4F9B-A19D-537BF6EDCF52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2" l="1"/>
  <c r="S6" i="2" s="1"/>
  <c r="S11" i="2" s="1"/>
  <c r="S21" i="2" s="1"/>
  <c r="R19" i="2"/>
  <c r="R25" i="2"/>
  <c r="Q25" i="2"/>
  <c r="Q24" i="2"/>
  <c r="Q19" i="2"/>
  <c r="S12" i="2"/>
  <c r="T12" i="2" s="1"/>
  <c r="U12" i="2" s="1"/>
  <c r="V12" i="2" s="1"/>
  <c r="W12" i="2" s="1"/>
  <c r="X12" i="2" s="1"/>
  <c r="Y12" i="2" s="1"/>
  <c r="R12" i="2"/>
  <c r="Y10" i="2"/>
  <c r="X10" i="2"/>
  <c r="W10" i="2"/>
  <c r="V10" i="2"/>
  <c r="U10" i="2"/>
  <c r="T10" i="2"/>
  <c r="S10" i="2"/>
  <c r="R10" i="2"/>
  <c r="S9" i="2"/>
  <c r="T9" i="2" s="1"/>
  <c r="U9" i="2" s="1"/>
  <c r="V9" i="2" s="1"/>
  <c r="W9" i="2" s="1"/>
  <c r="X9" i="2" s="1"/>
  <c r="Y9" i="2" s="1"/>
  <c r="R9" i="2"/>
  <c r="S8" i="2"/>
  <c r="T8" i="2" s="1"/>
  <c r="U8" i="2" s="1"/>
  <c r="V8" i="2" s="1"/>
  <c r="W8" i="2" s="1"/>
  <c r="X8" i="2" s="1"/>
  <c r="Y8" i="2" s="1"/>
  <c r="R8" i="2"/>
  <c r="S7" i="2"/>
  <c r="T7" i="2" s="1"/>
  <c r="U7" i="2" s="1"/>
  <c r="V7" i="2" s="1"/>
  <c r="W7" i="2" s="1"/>
  <c r="X7" i="2" s="1"/>
  <c r="Y7" i="2" s="1"/>
  <c r="R7" i="2"/>
  <c r="Q6" i="2"/>
  <c r="Q14" i="2"/>
  <c r="Q12" i="2"/>
  <c r="Q7" i="2"/>
  <c r="Q10" i="2" s="1"/>
  <c r="Q8" i="2"/>
  <c r="Q9" i="2"/>
  <c r="I6" i="2"/>
  <c r="I15" i="2"/>
  <c r="I13" i="2"/>
  <c r="I12" i="2"/>
  <c r="I11" i="2"/>
  <c r="I7" i="2"/>
  <c r="I10" i="2" s="1"/>
  <c r="I8" i="2"/>
  <c r="I9" i="2"/>
  <c r="E17" i="2"/>
  <c r="E14" i="2"/>
  <c r="E12" i="2"/>
  <c r="E9" i="2"/>
  <c r="E8" i="2"/>
  <c r="E7" i="2"/>
  <c r="E10" i="2" s="1"/>
  <c r="E5" i="2"/>
  <c r="E4" i="2"/>
  <c r="P19" i="2"/>
  <c r="O19" i="2"/>
  <c r="P25" i="2"/>
  <c r="P26" i="2" s="1"/>
  <c r="O25" i="2"/>
  <c r="O26" i="2" s="1"/>
  <c r="N25" i="2"/>
  <c r="N26" i="2" s="1"/>
  <c r="P12" i="2"/>
  <c r="O12" i="2"/>
  <c r="N12" i="2"/>
  <c r="P17" i="2"/>
  <c r="O17" i="2"/>
  <c r="N17" i="2"/>
  <c r="P10" i="2"/>
  <c r="O10" i="2"/>
  <c r="O11" i="2" s="1"/>
  <c r="O21" i="2" s="1"/>
  <c r="N10" i="2"/>
  <c r="P6" i="2"/>
  <c r="O6" i="2"/>
  <c r="N6" i="2"/>
  <c r="R3" i="2"/>
  <c r="S3" i="2" s="1"/>
  <c r="T3" i="2" s="1"/>
  <c r="U3" i="2" s="1"/>
  <c r="V3" i="2" s="1"/>
  <c r="W3" i="2" s="1"/>
  <c r="X3" i="2" s="1"/>
  <c r="Y3" i="2" s="1"/>
  <c r="B12" i="2"/>
  <c r="F12" i="2"/>
  <c r="B26" i="2"/>
  <c r="H26" i="2"/>
  <c r="F26" i="2"/>
  <c r="E26" i="2"/>
  <c r="D26" i="2"/>
  <c r="C26" i="2"/>
  <c r="C12" i="2"/>
  <c r="G12" i="2"/>
  <c r="C17" i="2"/>
  <c r="B17" i="2"/>
  <c r="H17" i="2"/>
  <c r="G17" i="2"/>
  <c r="F17" i="2"/>
  <c r="D17" i="2"/>
  <c r="F25" i="2"/>
  <c r="G25" i="2"/>
  <c r="G26" i="2" s="1"/>
  <c r="H25" i="2"/>
  <c r="D12" i="2"/>
  <c r="G6" i="2"/>
  <c r="F6" i="2"/>
  <c r="D6" i="2"/>
  <c r="C6" i="2"/>
  <c r="B6" i="2"/>
  <c r="G10" i="2"/>
  <c r="F10" i="2"/>
  <c r="D10" i="2"/>
  <c r="C10" i="2"/>
  <c r="B10" i="2"/>
  <c r="H12" i="2"/>
  <c r="H10" i="2"/>
  <c r="H6" i="2"/>
  <c r="H19" i="2" s="1"/>
  <c r="B6" i="1"/>
  <c r="R24" i="2" l="1"/>
  <c r="R26" i="2" s="1"/>
  <c r="R11" i="2"/>
  <c r="R21" i="2" s="1"/>
  <c r="S19" i="2"/>
  <c r="T6" i="2"/>
  <c r="U6" i="2" s="1"/>
  <c r="V6" i="2" s="1"/>
  <c r="W6" i="2" s="1"/>
  <c r="X6" i="2" s="1"/>
  <c r="Y6" i="2" s="1"/>
  <c r="Y24" i="2" s="1"/>
  <c r="S24" i="2"/>
  <c r="R13" i="2"/>
  <c r="R15" i="2" s="1"/>
  <c r="R22" i="2" s="1"/>
  <c r="S13" i="2"/>
  <c r="S15" i="2" s="1"/>
  <c r="S22" i="2" s="1"/>
  <c r="S25" i="2"/>
  <c r="Q26" i="2"/>
  <c r="Q17" i="2"/>
  <c r="Q11" i="2"/>
  <c r="Q21" i="2" s="1"/>
  <c r="E6" i="2"/>
  <c r="P11" i="2"/>
  <c r="P13" i="2" s="1"/>
  <c r="P15" i="2" s="1"/>
  <c r="P22" i="2" s="1"/>
  <c r="O13" i="2"/>
  <c r="O15" i="2" s="1"/>
  <c r="O22" i="2" s="1"/>
  <c r="N11" i="2"/>
  <c r="N13" i="2" s="1"/>
  <c r="N15" i="2" s="1"/>
  <c r="N22" i="2" s="1"/>
  <c r="F19" i="2"/>
  <c r="G19" i="2"/>
  <c r="H11" i="2"/>
  <c r="H13" i="2" s="1"/>
  <c r="H15" i="2" s="1"/>
  <c r="E11" i="2"/>
  <c r="E13" i="2" s="1"/>
  <c r="E15" i="2" s="1"/>
  <c r="C11" i="2"/>
  <c r="C13" i="2" s="1"/>
  <c r="C15" i="2" s="1"/>
  <c r="G11" i="2"/>
  <c r="F11" i="2"/>
  <c r="D11" i="2"/>
  <c r="B11" i="2"/>
  <c r="V11" i="2" l="1"/>
  <c r="V13" i="2" s="1"/>
  <c r="V15" i="2" s="1"/>
  <c r="V22" i="2" s="1"/>
  <c r="W24" i="2"/>
  <c r="W11" i="2"/>
  <c r="W21" i="2" s="1"/>
  <c r="T11" i="2"/>
  <c r="T13" i="2" s="1"/>
  <c r="T15" i="2" s="1"/>
  <c r="T22" i="2" s="1"/>
  <c r="V24" i="2"/>
  <c r="W19" i="2"/>
  <c r="X19" i="2"/>
  <c r="U11" i="2"/>
  <c r="U21" i="2" s="1"/>
  <c r="T24" i="2"/>
  <c r="V19" i="2"/>
  <c r="U19" i="2"/>
  <c r="Y19" i="2"/>
  <c r="Y11" i="2"/>
  <c r="Y13" i="2" s="1"/>
  <c r="Y15" i="2" s="1"/>
  <c r="Y22" i="2" s="1"/>
  <c r="U24" i="2"/>
  <c r="X24" i="2"/>
  <c r="X11" i="2"/>
  <c r="X21" i="2" s="1"/>
  <c r="T19" i="2"/>
  <c r="T25" i="2"/>
  <c r="S26" i="2"/>
  <c r="Q13" i="2"/>
  <c r="Q15" i="2" s="1"/>
  <c r="Q22" i="2" s="1"/>
  <c r="P21" i="2"/>
  <c r="N21" i="2"/>
  <c r="H21" i="2"/>
  <c r="C21" i="2"/>
  <c r="E21" i="2"/>
  <c r="E22" i="2"/>
  <c r="G13" i="2"/>
  <c r="G15" i="2" s="1"/>
  <c r="G21" i="2"/>
  <c r="C22" i="2"/>
  <c r="F13" i="2"/>
  <c r="F15" i="2" s="1"/>
  <c r="F21" i="2"/>
  <c r="B13" i="2"/>
  <c r="B15" i="2" s="1"/>
  <c r="B21" i="2"/>
  <c r="D13" i="2"/>
  <c r="D15" i="2" s="1"/>
  <c r="D21" i="2"/>
  <c r="H22" i="2"/>
  <c r="T21" i="2" l="1"/>
  <c r="V21" i="2"/>
  <c r="W13" i="2"/>
  <c r="W15" i="2" s="1"/>
  <c r="W22" i="2" s="1"/>
  <c r="X13" i="2"/>
  <c r="X15" i="2" s="1"/>
  <c r="X22" i="2" s="1"/>
  <c r="U13" i="2"/>
  <c r="U15" i="2" s="1"/>
  <c r="U22" i="2" s="1"/>
  <c r="Y21" i="2"/>
  <c r="U25" i="2"/>
  <c r="T26" i="2"/>
  <c r="D22" i="2"/>
  <c r="B22" i="2"/>
  <c r="G22" i="2"/>
  <c r="F22" i="2"/>
  <c r="V25" i="2" l="1"/>
  <c r="U26" i="2"/>
  <c r="W25" i="2" l="1"/>
  <c r="V26" i="2"/>
  <c r="X25" i="2" l="1"/>
  <c r="W26" i="2"/>
  <c r="Y25" i="2" l="1"/>
  <c r="Y26" i="2" s="1"/>
  <c r="X26" i="2"/>
</calcChain>
</file>

<file path=xl/sharedStrings.xml><?xml version="1.0" encoding="utf-8"?>
<sst xmlns="http://schemas.openxmlformats.org/spreadsheetml/2006/main" count="67" uniqueCount="66">
  <si>
    <t>Ticket</t>
  </si>
  <si>
    <t>IIPR</t>
  </si>
  <si>
    <t>in millions</t>
  </si>
  <si>
    <t>2027 projection</t>
  </si>
  <si>
    <t>price</t>
  </si>
  <si>
    <t>Regulated Cannabis sales</t>
  </si>
  <si>
    <t>shares</t>
  </si>
  <si>
    <t xml:space="preserve">Annual growth </t>
  </si>
  <si>
    <t>mc</t>
  </si>
  <si>
    <t>net cash</t>
  </si>
  <si>
    <t>ev</t>
  </si>
  <si>
    <t>founded</t>
  </si>
  <si>
    <t>CEO</t>
  </si>
  <si>
    <t>Paul Smithers</t>
  </si>
  <si>
    <t>Business model</t>
  </si>
  <si>
    <t>acquisition strategy is to act as a source of capital to these licensed cannabis operators by acquiring and leasing back their real estate locations</t>
  </si>
  <si>
    <t>info</t>
  </si>
  <si>
    <t>-real estate investment trust for the regulated cannabis industry.</t>
  </si>
  <si>
    <t>-39 states legalized cannabis for medical-use</t>
  </si>
  <si>
    <t>-21 states legalized cannabis for adult-use</t>
  </si>
  <si>
    <t>-weighted-average remaining lease term of approximately 14.9 years</t>
  </si>
  <si>
    <t>-97% rent collected</t>
  </si>
  <si>
    <t>Property type</t>
  </si>
  <si>
    <t>Industrial</t>
  </si>
  <si>
    <t>Retail</t>
  </si>
  <si>
    <t>Industrial+Retail</t>
  </si>
  <si>
    <t>Largest Clients</t>
  </si>
  <si>
    <t>Number of leases</t>
  </si>
  <si>
    <t>% Revenue</t>
  </si>
  <si>
    <t>PharmaCann Inc</t>
  </si>
  <si>
    <t>Ascend Wellness Holdings</t>
  </si>
  <si>
    <t>Green Thumb Industries</t>
  </si>
  <si>
    <t>Curaleaf Holdings</t>
  </si>
  <si>
    <t>Truelieve Cannabis Corp.</t>
  </si>
  <si>
    <t>(in millions)</t>
  </si>
  <si>
    <t>FY 2022 Q1</t>
  </si>
  <si>
    <t>FY 2022 Q2</t>
  </si>
  <si>
    <t>FY 2022 Q3</t>
  </si>
  <si>
    <t>FY 2022 Q4</t>
  </si>
  <si>
    <t>FY 2023 Q1</t>
  </si>
  <si>
    <t>FY 2023 Q2</t>
  </si>
  <si>
    <t>FY 2023 Q3</t>
  </si>
  <si>
    <t>FY 2023 Q4</t>
  </si>
  <si>
    <t>FY 2024 Q1</t>
  </si>
  <si>
    <t>FY 2024 Q2</t>
  </si>
  <si>
    <t>FY 2024 Q3</t>
  </si>
  <si>
    <t>Rental</t>
  </si>
  <si>
    <t>Other</t>
  </si>
  <si>
    <t>Total Revenue</t>
  </si>
  <si>
    <t xml:space="preserve">PP </t>
  </si>
  <si>
    <t>G&amp;A</t>
  </si>
  <si>
    <t>D&amp;A</t>
  </si>
  <si>
    <t>Total Expenses</t>
  </si>
  <si>
    <t>Operating profit</t>
  </si>
  <si>
    <t>Net Interest</t>
  </si>
  <si>
    <t>Net Income</t>
  </si>
  <si>
    <t>Preferred stock dividends</t>
  </si>
  <si>
    <t>Net income to shareholders</t>
  </si>
  <si>
    <t>AFFO per Share</t>
  </si>
  <si>
    <t>Revenue Y/Y</t>
  </si>
  <si>
    <t>Operating Margin %</t>
  </si>
  <si>
    <t>Net Margin %</t>
  </si>
  <si>
    <t>AFFO</t>
  </si>
  <si>
    <t>Dividends Paid</t>
  </si>
  <si>
    <t>Payout Ratio</t>
  </si>
  <si>
    <t>Number of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</si>
</sst>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_ ;_-[$$-409]* \-#,##0\ ;_-[$$-409]* &quot;-&quot;_ ;_-@_ "/>
    <numFmt numFmtId="165" formatCode="_-[$$-409]* #,##0.00_ ;_-[$$-409]* \-#,##0.00\ ;_-[$$-409]* &quot;-&quot;??_ ;_-@_ 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727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9" fontId="0" fillId="0" borderId="0" xfId="1" applyFont="1"/>
    <xf numFmtId="1" fontId="0" fillId="0" borderId="0" xfId="1" applyNumberFormat="1" applyFont="1"/>
    <xf numFmtId="0" fontId="0" fillId="0" borderId="0" xfId="0" quotePrefix="1"/>
    <xf numFmtId="0" fontId="3" fillId="0" borderId="0" xfId="0" quotePrefix="1" applyFont="1"/>
    <xf numFmtId="14" fontId="0" fillId="0" borderId="0" xfId="0" applyNumberFormat="1"/>
    <xf numFmtId="166" fontId="2" fillId="0" borderId="0" xfId="0" applyNumberFormat="1" applyFont="1"/>
    <xf numFmtId="166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1</xdr:row>
      <xdr:rowOff>161925</xdr:rowOff>
    </xdr:from>
    <xdr:to>
      <xdr:col>8</xdr:col>
      <xdr:colOff>9525</xdr:colOff>
      <xdr:row>30</xdr:row>
      <xdr:rowOff>66675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93C22575-5677-CCE5-2B6C-2DC288207590}"/>
            </a:ext>
          </a:extLst>
        </xdr:cNvPr>
        <xdr:cNvCxnSpPr/>
      </xdr:nvCxnSpPr>
      <xdr:spPr>
        <a:xfrm>
          <a:off x="6534150" y="352425"/>
          <a:ext cx="19050" cy="54292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</xdr:row>
      <xdr:rowOff>171450</xdr:rowOff>
    </xdr:from>
    <xdr:to>
      <xdr:col>16</xdr:col>
      <xdr:colOff>9525</xdr:colOff>
      <xdr:row>30</xdr:row>
      <xdr:rowOff>142875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476CC54D-3C5A-F424-44C7-7824F6AD9C60}"/>
            </a:ext>
          </a:extLst>
        </xdr:cNvPr>
        <xdr:cNvCxnSpPr/>
      </xdr:nvCxnSpPr>
      <xdr:spPr>
        <a:xfrm>
          <a:off x="11858625" y="361950"/>
          <a:ext cx="0" cy="54959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AC03-0D6A-4879-BFA4-CF112223729C}">
  <dimension ref="A1:H29"/>
  <sheetViews>
    <sheetView workbookViewId="0">
      <selection activeCell="H21" sqref="H21"/>
    </sheetView>
  </sheetViews>
  <sheetFormatPr defaultRowHeight="15" x14ac:dyDescent="0.25"/>
  <cols>
    <col min="1" max="1" width="24" customWidth="1"/>
    <col min="2" max="2" width="16.85546875" customWidth="1"/>
    <col min="3" max="3" width="10.7109375" customWidth="1"/>
    <col min="6" max="6" width="25.5703125" bestFit="1" customWidth="1"/>
    <col min="7" max="7" width="8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F1" s="2" t="s">
        <v>2</v>
      </c>
      <c r="G1" s="3">
        <v>2022</v>
      </c>
      <c r="H1" s="3" t="s">
        <v>3</v>
      </c>
    </row>
    <row r="2" spans="1:8" x14ac:dyDescent="0.25">
      <c r="A2" t="s">
        <v>4</v>
      </c>
      <c r="B2">
        <v>80.8</v>
      </c>
      <c r="F2" t="s">
        <v>5</v>
      </c>
      <c r="G2" s="1">
        <v>26100</v>
      </c>
      <c r="H2" s="1">
        <v>44500</v>
      </c>
    </row>
    <row r="3" spans="1:8" x14ac:dyDescent="0.25">
      <c r="A3" t="s">
        <v>6</v>
      </c>
      <c r="F3" t="s">
        <v>7</v>
      </c>
      <c r="H3" s="4">
        <v>0.11</v>
      </c>
    </row>
    <row r="4" spans="1:8" x14ac:dyDescent="0.25">
      <c r="A4" t="s">
        <v>8</v>
      </c>
      <c r="B4">
        <v>2180</v>
      </c>
    </row>
    <row r="5" spans="1:8" x14ac:dyDescent="0.25">
      <c r="A5" t="s">
        <v>9</v>
      </c>
      <c r="B5">
        <v>-184</v>
      </c>
    </row>
    <row r="6" spans="1:8" x14ac:dyDescent="0.25">
      <c r="A6" t="s">
        <v>10</v>
      </c>
      <c r="B6">
        <f>B4-B5</f>
        <v>2364</v>
      </c>
    </row>
    <row r="8" spans="1:8" x14ac:dyDescent="0.25">
      <c r="A8" t="s">
        <v>11</v>
      </c>
      <c r="B8">
        <v>2016</v>
      </c>
    </row>
    <row r="9" spans="1:8" x14ac:dyDescent="0.25">
      <c r="A9" t="s">
        <v>12</v>
      </c>
      <c r="B9" t="s">
        <v>13</v>
      </c>
    </row>
    <row r="10" spans="1:8" x14ac:dyDescent="0.25">
      <c r="A10" s="3" t="s">
        <v>14</v>
      </c>
      <c r="B10" t="s">
        <v>15</v>
      </c>
    </row>
    <row r="12" spans="1:8" x14ac:dyDescent="0.25">
      <c r="A12" s="3" t="s">
        <v>16</v>
      </c>
    </row>
    <row r="13" spans="1:8" x14ac:dyDescent="0.25">
      <c r="A13" s="8" t="s">
        <v>17</v>
      </c>
    </row>
    <row r="14" spans="1:8" x14ac:dyDescent="0.25">
      <c r="A14" s="9" t="s">
        <v>18</v>
      </c>
    </row>
    <row r="15" spans="1:8" x14ac:dyDescent="0.25">
      <c r="A15" s="8" t="s">
        <v>19</v>
      </c>
    </row>
    <row r="16" spans="1:8" x14ac:dyDescent="0.25">
      <c r="A16" s="8" t="s">
        <v>20</v>
      </c>
    </row>
    <row r="17" spans="1:3" x14ac:dyDescent="0.25">
      <c r="A17" s="8" t="s">
        <v>21</v>
      </c>
    </row>
    <row r="18" spans="1:3" x14ac:dyDescent="0.25">
      <c r="A18" s="8"/>
    </row>
    <row r="19" spans="1:3" x14ac:dyDescent="0.25">
      <c r="A19" s="3" t="s">
        <v>22</v>
      </c>
    </row>
    <row r="20" spans="1:3" x14ac:dyDescent="0.25">
      <c r="A20" t="s">
        <v>23</v>
      </c>
      <c r="B20" s="4">
        <v>0.91</v>
      </c>
    </row>
    <row r="21" spans="1:3" x14ac:dyDescent="0.25">
      <c r="A21" t="s">
        <v>24</v>
      </c>
      <c r="B21" s="4">
        <v>0.03</v>
      </c>
    </row>
    <row r="22" spans="1:3" x14ac:dyDescent="0.25">
      <c r="A22" t="s">
        <v>25</v>
      </c>
      <c r="B22" s="4">
        <v>0.06</v>
      </c>
    </row>
    <row r="24" spans="1:3" x14ac:dyDescent="0.25">
      <c r="A24" s="3" t="s">
        <v>26</v>
      </c>
      <c r="B24" s="3" t="s">
        <v>27</v>
      </c>
      <c r="C24" s="3" t="s">
        <v>28</v>
      </c>
    </row>
    <row r="25" spans="1:3" x14ac:dyDescent="0.25">
      <c r="A25" t="s">
        <v>29</v>
      </c>
      <c r="B25" s="7">
        <v>11</v>
      </c>
      <c r="C25" s="4">
        <v>0.15</v>
      </c>
    </row>
    <row r="26" spans="1:3" x14ac:dyDescent="0.25">
      <c r="A26" t="s">
        <v>30</v>
      </c>
      <c r="B26">
        <v>4</v>
      </c>
      <c r="C26" s="4">
        <v>0.1</v>
      </c>
    </row>
    <row r="27" spans="1:3" x14ac:dyDescent="0.25">
      <c r="A27" t="s">
        <v>31</v>
      </c>
      <c r="B27">
        <v>3</v>
      </c>
      <c r="C27" s="4">
        <v>0.08</v>
      </c>
    </row>
    <row r="28" spans="1:3" x14ac:dyDescent="0.25">
      <c r="A28" t="s">
        <v>32</v>
      </c>
      <c r="B28">
        <v>8</v>
      </c>
      <c r="C28" s="4">
        <v>7.0000000000000007E-2</v>
      </c>
    </row>
    <row r="29" spans="1:3" x14ac:dyDescent="0.25">
      <c r="A29" t="s">
        <v>33</v>
      </c>
      <c r="B29">
        <v>6</v>
      </c>
      <c r="C29" s="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A55F-CBF1-427E-AAF1-E12D11865D1E}">
  <dimension ref="A2:Y27"/>
  <sheetViews>
    <sheetView tabSelected="1" workbookViewId="0">
      <pane xSplit="1" topLeftCell="B1" activePane="topRight" state="frozen"/>
      <selection pane="topRight" activeCell="R7" sqref="R7"/>
    </sheetView>
  </sheetViews>
  <sheetFormatPr defaultRowHeight="15" x14ac:dyDescent="0.25"/>
  <cols>
    <col min="1" max="1" width="26.140625" bestFit="1" customWidth="1"/>
    <col min="2" max="4" width="10.28515625" bestFit="1" customWidth="1"/>
    <col min="5" max="5" width="10.7109375" bestFit="1" customWidth="1"/>
    <col min="6" max="8" width="10.28515625" bestFit="1" customWidth="1"/>
    <col min="9" max="9" width="10.7109375" bestFit="1" customWidth="1"/>
    <col min="10" max="12" width="10.42578125" bestFit="1" customWidth="1"/>
    <col min="13" max="13" width="10.42578125" customWidth="1"/>
  </cols>
  <sheetData>
    <row r="2" spans="1:25" x14ac:dyDescent="0.25">
      <c r="E2" s="10">
        <v>44926</v>
      </c>
      <c r="I2" s="10">
        <v>45291</v>
      </c>
    </row>
    <row r="3" spans="1:25" x14ac:dyDescent="0.25">
      <c r="A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/>
      <c r="N3" s="3">
        <v>2020</v>
      </c>
      <c r="O3" s="3">
        <v>2021</v>
      </c>
      <c r="P3" s="3">
        <v>2022</v>
      </c>
      <c r="Q3" s="3">
        <v>2023</v>
      </c>
      <c r="R3" s="3">
        <f>Q3+1</f>
        <v>2024</v>
      </c>
      <c r="S3" s="3">
        <f t="shared" ref="S3:Y3" si="0">R3+1</f>
        <v>2025</v>
      </c>
      <c r="T3" s="3">
        <f t="shared" si="0"/>
        <v>2026</v>
      </c>
      <c r="U3" s="3">
        <f t="shared" si="0"/>
        <v>2027</v>
      </c>
      <c r="V3">
        <f t="shared" si="0"/>
        <v>2028</v>
      </c>
      <c r="W3">
        <f t="shared" si="0"/>
        <v>2029</v>
      </c>
      <c r="X3">
        <f t="shared" si="0"/>
        <v>2030</v>
      </c>
      <c r="Y3">
        <f t="shared" si="0"/>
        <v>2031</v>
      </c>
    </row>
    <row r="4" spans="1:25" x14ac:dyDescent="0.25">
      <c r="A4" t="s">
        <v>46</v>
      </c>
      <c r="B4">
        <v>64.114000000000004</v>
      </c>
      <c r="C4">
        <v>69.995000000000005</v>
      </c>
      <c r="D4">
        <v>70.344999999999999</v>
      </c>
      <c r="E4">
        <f>P4-SUM(B4:D4)</f>
        <v>69.923000000000002</v>
      </c>
      <c r="F4">
        <v>75.528999999999996</v>
      </c>
      <c r="G4">
        <v>75.918999999999997</v>
      </c>
      <c r="H4">
        <v>77.286000000000001</v>
      </c>
      <c r="N4">
        <v>116.896</v>
      </c>
      <c r="O4">
        <v>204.55099999999999</v>
      </c>
      <c r="P4">
        <v>274.37700000000001</v>
      </c>
    </row>
    <row r="5" spans="1:25" x14ac:dyDescent="0.25">
      <c r="A5" t="s">
        <v>47</v>
      </c>
      <c r="B5">
        <v>0.39</v>
      </c>
      <c r="C5">
        <v>0.51600000000000001</v>
      </c>
      <c r="D5">
        <v>0.53800000000000003</v>
      </c>
      <c r="E5">
        <f>P5-SUM(B5:D5)</f>
        <v>0.53800000000000003</v>
      </c>
      <c r="F5">
        <v>0.53800000000000003</v>
      </c>
      <c r="G5">
        <v>0.53800000000000003</v>
      </c>
      <c r="H5">
        <v>0.54</v>
      </c>
      <c r="P5">
        <v>1.982</v>
      </c>
    </row>
    <row r="6" spans="1:25" x14ac:dyDescent="0.25">
      <c r="A6" s="3" t="s">
        <v>48</v>
      </c>
      <c r="B6" s="3">
        <f t="shared" ref="B6:G6" si="1">B4+B5</f>
        <v>64.504000000000005</v>
      </c>
      <c r="C6" s="3">
        <f t="shared" si="1"/>
        <v>70.51100000000001</v>
      </c>
      <c r="D6" s="3">
        <f t="shared" si="1"/>
        <v>70.882999999999996</v>
      </c>
      <c r="E6" s="3">
        <f t="shared" si="1"/>
        <v>70.460999999999999</v>
      </c>
      <c r="F6" s="3">
        <f t="shared" si="1"/>
        <v>76.066999999999993</v>
      </c>
      <c r="G6" s="3">
        <f t="shared" si="1"/>
        <v>76.456999999999994</v>
      </c>
      <c r="H6" s="3">
        <f>H4+H5</f>
        <v>77.826000000000008</v>
      </c>
      <c r="I6" s="11">
        <f>E6*1.1</f>
        <v>77.507100000000008</v>
      </c>
      <c r="J6" s="3"/>
      <c r="K6" s="3"/>
      <c r="L6" s="3"/>
      <c r="M6" s="3"/>
      <c r="N6" s="3">
        <f t="shared" ref="N6:P6" si="2">N4+N5</f>
        <v>116.896</v>
      </c>
      <c r="O6" s="3">
        <f t="shared" si="2"/>
        <v>204.55099999999999</v>
      </c>
      <c r="P6" s="3">
        <f t="shared" si="2"/>
        <v>276.35900000000004</v>
      </c>
      <c r="Q6" s="3">
        <f>SUM(F6:I6)</f>
        <v>307.85710000000006</v>
      </c>
      <c r="R6">
        <f>Q6*1.05</f>
        <v>323.24995500000006</v>
      </c>
      <c r="S6">
        <f t="shared" ref="S6:Y6" si="3">R6*1.05</f>
        <v>339.41245275000006</v>
      </c>
      <c r="T6">
        <f t="shared" si="3"/>
        <v>356.38307538750007</v>
      </c>
      <c r="U6">
        <f t="shared" si="3"/>
        <v>374.20222915687509</v>
      </c>
      <c r="V6">
        <f t="shared" si="3"/>
        <v>392.91234061471886</v>
      </c>
      <c r="W6">
        <f t="shared" si="3"/>
        <v>412.55795764545479</v>
      </c>
      <c r="X6">
        <f t="shared" si="3"/>
        <v>433.18585552772754</v>
      </c>
      <c r="Y6">
        <f t="shared" si="3"/>
        <v>454.84514830411393</v>
      </c>
    </row>
    <row r="7" spans="1:25" x14ac:dyDescent="0.25">
      <c r="A7" t="s">
        <v>49</v>
      </c>
      <c r="B7">
        <v>1.982</v>
      </c>
      <c r="C7">
        <v>2.427</v>
      </c>
      <c r="D7">
        <v>2.823</v>
      </c>
      <c r="E7">
        <f t="shared" ref="E7:E9" si="4">P7-SUM(B7:D7)</f>
        <v>3.2880000000000003</v>
      </c>
      <c r="F7">
        <v>5.6230000000000002</v>
      </c>
      <c r="G7">
        <v>5.7590000000000003</v>
      </c>
      <c r="H7">
        <v>6.3179999999999996</v>
      </c>
      <c r="I7" s="12">
        <f>H7*1.01</f>
        <v>6.3811799999999996</v>
      </c>
      <c r="N7">
        <v>4.952</v>
      </c>
      <c r="O7">
        <v>4.4429999999999996</v>
      </c>
      <c r="P7">
        <v>10.52</v>
      </c>
      <c r="Q7">
        <f t="shared" ref="Q7:Q9" si="5">SUM(F7:I7)</f>
        <v>24.081180000000003</v>
      </c>
      <c r="R7">
        <f>Q7*1.01</f>
        <v>24.321991800000003</v>
      </c>
      <c r="S7">
        <f t="shared" ref="S7:Y7" si="6">R7*1.01</f>
        <v>24.565211718000004</v>
      </c>
      <c r="T7">
        <f t="shared" si="6"/>
        <v>24.810863835180005</v>
      </c>
      <c r="U7">
        <f t="shared" si="6"/>
        <v>25.058972473531806</v>
      </c>
      <c r="V7">
        <f t="shared" si="6"/>
        <v>25.309562198267123</v>
      </c>
      <c r="W7">
        <f t="shared" si="6"/>
        <v>25.562657820249793</v>
      </c>
      <c r="X7">
        <f t="shared" si="6"/>
        <v>25.818284398452292</v>
      </c>
      <c r="Y7">
        <f t="shared" si="6"/>
        <v>26.076467242436816</v>
      </c>
    </row>
    <row r="8" spans="1:25" x14ac:dyDescent="0.25">
      <c r="A8" t="s">
        <v>50</v>
      </c>
      <c r="B8">
        <v>8.7769999999999992</v>
      </c>
      <c r="C8">
        <v>8.7070000000000007</v>
      </c>
      <c r="D8">
        <v>10.804</v>
      </c>
      <c r="E8">
        <f t="shared" si="4"/>
        <v>10.231999999999999</v>
      </c>
      <c r="F8">
        <v>10.372999999999999</v>
      </c>
      <c r="G8">
        <v>10.57</v>
      </c>
      <c r="H8">
        <v>10.981</v>
      </c>
      <c r="I8" s="12">
        <f>H8</f>
        <v>10.981</v>
      </c>
      <c r="N8">
        <v>14.182</v>
      </c>
      <c r="O8">
        <v>22.960999999999999</v>
      </c>
      <c r="P8">
        <v>38.520000000000003</v>
      </c>
      <c r="Q8">
        <f t="shared" si="5"/>
        <v>42.905000000000001</v>
      </c>
      <c r="R8">
        <f>Q8*1.025</f>
        <v>43.977624999999996</v>
      </c>
      <c r="S8">
        <f t="shared" ref="S8:Y8" si="7">R8*1.025</f>
        <v>45.077065624999989</v>
      </c>
      <c r="T8">
        <f t="shared" si="7"/>
        <v>46.203992265624983</v>
      </c>
      <c r="U8">
        <f t="shared" si="7"/>
        <v>47.359092072265604</v>
      </c>
      <c r="V8">
        <f t="shared" si="7"/>
        <v>48.543069374072239</v>
      </c>
      <c r="W8">
        <f t="shared" si="7"/>
        <v>49.756646108424043</v>
      </c>
      <c r="X8">
        <f t="shared" si="7"/>
        <v>51.00056226113464</v>
      </c>
      <c r="Y8">
        <f t="shared" si="7"/>
        <v>52.275576317663003</v>
      </c>
    </row>
    <row r="9" spans="1:25" x14ac:dyDescent="0.25">
      <c r="A9" t="s">
        <v>51</v>
      </c>
      <c r="B9">
        <v>13.868</v>
      </c>
      <c r="C9">
        <v>15.233000000000001</v>
      </c>
      <c r="D9">
        <v>15.9</v>
      </c>
      <c r="E9">
        <f t="shared" si="4"/>
        <v>16.302</v>
      </c>
      <c r="F9">
        <v>16.713999999999999</v>
      </c>
      <c r="G9">
        <v>16.704000000000001</v>
      </c>
      <c r="H9">
        <v>16.678000000000001</v>
      </c>
      <c r="I9" s="12">
        <f>H9</f>
        <v>16.678000000000001</v>
      </c>
      <c r="N9">
        <v>28.024999999999999</v>
      </c>
      <c r="O9">
        <v>41.776000000000003</v>
      </c>
      <c r="P9">
        <v>61.302999999999997</v>
      </c>
      <c r="Q9">
        <f t="shared" si="5"/>
        <v>66.774000000000001</v>
      </c>
      <c r="R9">
        <f>Q9*1.01</f>
        <v>67.441739999999996</v>
      </c>
      <c r="S9">
        <f t="shared" ref="S9:Y9" si="8">R9*1.01</f>
        <v>68.116157399999992</v>
      </c>
      <c r="T9">
        <f t="shared" si="8"/>
        <v>68.797318973999992</v>
      </c>
      <c r="U9">
        <f t="shared" si="8"/>
        <v>69.485292163739999</v>
      </c>
      <c r="V9">
        <f t="shared" si="8"/>
        <v>70.180145085377404</v>
      </c>
      <c r="W9">
        <f t="shared" si="8"/>
        <v>70.881946536231183</v>
      </c>
      <c r="X9">
        <f t="shared" si="8"/>
        <v>71.590766001593494</v>
      </c>
      <c r="Y9">
        <f t="shared" si="8"/>
        <v>72.306673661609423</v>
      </c>
    </row>
    <row r="10" spans="1:25" x14ac:dyDescent="0.25">
      <c r="A10" t="s">
        <v>52</v>
      </c>
      <c r="B10">
        <f t="shared" ref="B10:G10" si="9">B7+B8+B9</f>
        <v>24.626999999999999</v>
      </c>
      <c r="C10">
        <f t="shared" si="9"/>
        <v>26.367000000000001</v>
      </c>
      <c r="D10">
        <f t="shared" si="9"/>
        <v>29.527000000000001</v>
      </c>
      <c r="E10">
        <f t="shared" si="9"/>
        <v>29.821999999999999</v>
      </c>
      <c r="F10">
        <f t="shared" si="9"/>
        <v>32.709999999999994</v>
      </c>
      <c r="G10">
        <f t="shared" si="9"/>
        <v>33.033000000000001</v>
      </c>
      <c r="H10">
        <f>H7+H8+H9</f>
        <v>33.977000000000004</v>
      </c>
      <c r="I10" s="12">
        <f>I7+I8+I9</f>
        <v>34.040179999999999</v>
      </c>
      <c r="N10">
        <f t="shared" ref="N10:Y10" si="10">N7+N8+N9</f>
        <v>47.158999999999999</v>
      </c>
      <c r="O10">
        <f t="shared" si="10"/>
        <v>69.180000000000007</v>
      </c>
      <c r="P10">
        <f t="shared" si="10"/>
        <v>110.343</v>
      </c>
      <c r="Q10">
        <f t="shared" si="10"/>
        <v>133.76017999999999</v>
      </c>
      <c r="R10">
        <f t="shared" si="10"/>
        <v>135.74135680000001</v>
      </c>
      <c r="S10">
        <f t="shared" si="10"/>
        <v>137.75843474299998</v>
      </c>
      <c r="T10">
        <f t="shared" si="10"/>
        <v>139.812175074805</v>
      </c>
      <c r="U10">
        <f t="shared" si="10"/>
        <v>141.90335670953741</v>
      </c>
      <c r="V10">
        <f t="shared" si="10"/>
        <v>144.03277665771677</v>
      </c>
      <c r="W10">
        <f t="shared" si="10"/>
        <v>146.201250464905</v>
      </c>
      <c r="X10">
        <f t="shared" si="10"/>
        <v>148.40961266118043</v>
      </c>
      <c r="Y10">
        <f t="shared" si="10"/>
        <v>150.65871722170925</v>
      </c>
    </row>
    <row r="11" spans="1:25" x14ac:dyDescent="0.25">
      <c r="A11" s="3" t="s">
        <v>53</v>
      </c>
      <c r="B11" s="3">
        <f t="shared" ref="B11:G11" si="11">B6-B10</f>
        <v>39.87700000000001</v>
      </c>
      <c r="C11" s="3">
        <f t="shared" si="11"/>
        <v>44.144000000000005</v>
      </c>
      <c r="D11" s="3">
        <f t="shared" si="11"/>
        <v>41.355999999999995</v>
      </c>
      <c r="E11" s="3">
        <f t="shared" si="11"/>
        <v>40.638999999999996</v>
      </c>
      <c r="F11" s="3">
        <f t="shared" si="11"/>
        <v>43.356999999999999</v>
      </c>
      <c r="G11" s="3">
        <f t="shared" si="11"/>
        <v>43.423999999999992</v>
      </c>
      <c r="H11" s="3">
        <f>H6-H10</f>
        <v>43.849000000000004</v>
      </c>
      <c r="I11" s="11">
        <f>I6-I10</f>
        <v>43.466920000000009</v>
      </c>
      <c r="J11" s="3"/>
      <c r="K11" s="3"/>
      <c r="L11" s="3"/>
      <c r="M11" s="3"/>
      <c r="N11" s="3">
        <f t="shared" ref="N11:Y11" si="12">N6-N10</f>
        <v>69.736999999999995</v>
      </c>
      <c r="O11" s="3">
        <f t="shared" si="12"/>
        <v>135.37099999999998</v>
      </c>
      <c r="P11" s="3">
        <f t="shared" si="12"/>
        <v>166.01600000000002</v>
      </c>
      <c r="Q11" s="3">
        <f t="shared" si="12"/>
        <v>174.09692000000007</v>
      </c>
      <c r="R11" s="3">
        <f t="shared" si="12"/>
        <v>187.50859820000005</v>
      </c>
      <c r="S11" s="3">
        <f t="shared" si="12"/>
        <v>201.65401800700008</v>
      </c>
      <c r="T11" s="3">
        <f t="shared" si="12"/>
        <v>216.57090031269507</v>
      </c>
      <c r="U11" s="3">
        <f t="shared" si="12"/>
        <v>232.29887244733769</v>
      </c>
      <c r="V11" s="3">
        <f t="shared" si="12"/>
        <v>248.87956395700209</v>
      </c>
      <c r="W11" s="3">
        <f t="shared" si="12"/>
        <v>266.35670718054979</v>
      </c>
      <c r="X11" s="3">
        <f t="shared" si="12"/>
        <v>284.77624286654714</v>
      </c>
      <c r="Y11" s="3">
        <f t="shared" si="12"/>
        <v>304.18643108240468</v>
      </c>
    </row>
    <row r="12" spans="1:25" x14ac:dyDescent="0.25">
      <c r="A12" t="s">
        <v>54</v>
      </c>
      <c r="B12">
        <f>0.057-4.766</f>
        <v>-4.7089999999999996</v>
      </c>
      <c r="C12">
        <f>0.581-4.504</f>
        <v>-3.9229999999999996</v>
      </c>
      <c r="D12">
        <f>0.773-4.513</f>
        <v>-3.7399999999999998</v>
      </c>
      <c r="E12">
        <f>P12-SUM(B12:D12)</f>
        <v>-2.7339999999999982</v>
      </c>
      <c r="F12">
        <f>2.233-4.52</f>
        <v>-2.2869999999999995</v>
      </c>
      <c r="G12">
        <f>2.317-4.472</f>
        <v>-2.1550000000000002</v>
      </c>
      <c r="H12">
        <f>2.075-4.33</f>
        <v>-2.2549999999999999</v>
      </c>
      <c r="I12" s="12">
        <f>H12</f>
        <v>-2.2549999999999999</v>
      </c>
      <c r="N12">
        <f>3.424-7.431</f>
        <v>-4.0069999999999997</v>
      </c>
      <c r="O12">
        <f>0.397-18.086</f>
        <v>-17.689</v>
      </c>
      <c r="P12">
        <f>3.195-18.301</f>
        <v>-15.105999999999998</v>
      </c>
      <c r="Q12" s="3">
        <f>SUM(F12:I12)</f>
        <v>-8.952</v>
      </c>
      <c r="R12">
        <f>Q12*0.99</f>
        <v>-8.8624799999999997</v>
      </c>
      <c r="S12">
        <f t="shared" ref="S12:Y12" si="13">R12*0.99</f>
        <v>-8.7738551999999999</v>
      </c>
      <c r="T12">
        <f t="shared" si="13"/>
        <v>-8.6861166480000005</v>
      </c>
      <c r="U12">
        <f t="shared" si="13"/>
        <v>-8.5992554815200002</v>
      </c>
      <c r="V12">
        <f t="shared" si="13"/>
        <v>-8.5132629267047992</v>
      </c>
      <c r="W12">
        <f t="shared" si="13"/>
        <v>-8.4281302974377503</v>
      </c>
      <c r="X12">
        <f t="shared" si="13"/>
        <v>-8.3438489944633734</v>
      </c>
      <c r="Y12">
        <f t="shared" si="13"/>
        <v>-8.2604105045187399</v>
      </c>
    </row>
    <row r="13" spans="1:25" x14ac:dyDescent="0.25">
      <c r="A13" t="s">
        <v>55</v>
      </c>
      <c r="B13">
        <f t="shared" ref="B13:G13" si="14">B11+B12</f>
        <v>35.168000000000006</v>
      </c>
      <c r="C13">
        <f t="shared" si="14"/>
        <v>40.221000000000004</v>
      </c>
      <c r="D13">
        <f t="shared" si="14"/>
        <v>37.615999999999993</v>
      </c>
      <c r="E13">
        <f t="shared" si="14"/>
        <v>37.905000000000001</v>
      </c>
      <c r="F13">
        <f t="shared" si="14"/>
        <v>41.07</v>
      </c>
      <c r="G13">
        <f t="shared" si="14"/>
        <v>41.268999999999991</v>
      </c>
      <c r="H13">
        <f>H11+H12</f>
        <v>41.594000000000001</v>
      </c>
      <c r="I13" s="12">
        <f>I11+I12</f>
        <v>41.211920000000006</v>
      </c>
      <c r="N13">
        <f t="shared" ref="N13:Y13" si="15">N11+N12</f>
        <v>65.72999999999999</v>
      </c>
      <c r="O13">
        <f t="shared" si="15"/>
        <v>117.68199999999999</v>
      </c>
      <c r="P13">
        <f t="shared" si="15"/>
        <v>150.91000000000003</v>
      </c>
      <c r="Q13">
        <f t="shared" si="15"/>
        <v>165.14492000000007</v>
      </c>
      <c r="R13">
        <f t="shared" si="15"/>
        <v>178.64611820000005</v>
      </c>
      <c r="S13">
        <f t="shared" si="15"/>
        <v>192.88016280700009</v>
      </c>
      <c r="T13">
        <f t="shared" si="15"/>
        <v>207.88478366469508</v>
      </c>
      <c r="U13">
        <f t="shared" si="15"/>
        <v>223.69961696581768</v>
      </c>
      <c r="V13">
        <f t="shared" si="15"/>
        <v>240.36630103029728</v>
      </c>
      <c r="W13">
        <f t="shared" si="15"/>
        <v>257.92857688311204</v>
      </c>
      <c r="X13">
        <f t="shared" si="15"/>
        <v>276.43239387208376</v>
      </c>
      <c r="Y13">
        <f t="shared" si="15"/>
        <v>295.92602057788594</v>
      </c>
    </row>
    <row r="14" spans="1:25" x14ac:dyDescent="0.25">
      <c r="A14" t="s">
        <v>56</v>
      </c>
      <c r="B14">
        <v>-0.33800000000000002</v>
      </c>
      <c r="C14">
        <v>-0.33800000000000002</v>
      </c>
      <c r="D14">
        <v>-0.33800000000000002</v>
      </c>
      <c r="E14">
        <f>P14-SUM(B14:D14)</f>
        <v>-0.33800000000000008</v>
      </c>
      <c r="F14">
        <v>-0.33800000000000002</v>
      </c>
      <c r="G14">
        <v>-0.33800000000000002</v>
      </c>
      <c r="H14">
        <v>-0.33800000000000002</v>
      </c>
      <c r="I14" s="12">
        <v>-0.33800000000000002</v>
      </c>
      <c r="N14">
        <v>-1.3520000000000001</v>
      </c>
      <c r="O14">
        <v>-1.3520000000000001</v>
      </c>
      <c r="P14">
        <v>-1.3520000000000001</v>
      </c>
      <c r="Q14">
        <f>SUM(F14:I14)</f>
        <v>-1.3520000000000001</v>
      </c>
      <c r="R14">
        <v>-1.3520000000000001</v>
      </c>
      <c r="S14">
        <v>-1.3520000000000001</v>
      </c>
      <c r="T14">
        <v>-1.3520000000000001</v>
      </c>
      <c r="U14">
        <v>-1.3520000000000001</v>
      </c>
      <c r="V14">
        <v>-1.3520000000000001</v>
      </c>
      <c r="W14">
        <v>-1.3520000000000001</v>
      </c>
      <c r="X14">
        <v>-1.3520000000000001</v>
      </c>
      <c r="Y14">
        <v>-1.3520000000000001</v>
      </c>
    </row>
    <row r="15" spans="1:25" x14ac:dyDescent="0.25">
      <c r="A15" t="s">
        <v>57</v>
      </c>
      <c r="B15">
        <f t="shared" ref="B15:G15" si="16">B13+B14</f>
        <v>34.830000000000005</v>
      </c>
      <c r="C15">
        <f t="shared" si="16"/>
        <v>39.883000000000003</v>
      </c>
      <c r="D15">
        <f t="shared" si="16"/>
        <v>37.277999999999992</v>
      </c>
      <c r="E15">
        <f t="shared" si="16"/>
        <v>37.567</v>
      </c>
      <c r="F15">
        <f t="shared" si="16"/>
        <v>40.731999999999999</v>
      </c>
      <c r="G15">
        <f t="shared" si="16"/>
        <v>40.93099999999999</v>
      </c>
      <c r="H15">
        <f>H13+H14</f>
        <v>41.256</v>
      </c>
      <c r="I15" s="12">
        <f>I13+I14</f>
        <v>40.873920000000005</v>
      </c>
      <c r="N15">
        <f t="shared" ref="N15:Y15" si="17">N13+N14</f>
        <v>64.377999999999986</v>
      </c>
      <c r="O15">
        <f t="shared" si="17"/>
        <v>116.32999999999998</v>
      </c>
      <c r="P15">
        <f t="shared" si="17"/>
        <v>149.55800000000002</v>
      </c>
      <c r="Q15">
        <f t="shared" si="17"/>
        <v>163.79292000000007</v>
      </c>
      <c r="R15">
        <f t="shared" si="17"/>
        <v>177.29411820000004</v>
      </c>
      <c r="S15">
        <f t="shared" si="17"/>
        <v>191.52816280700009</v>
      </c>
      <c r="T15">
        <f t="shared" si="17"/>
        <v>206.53278366469507</v>
      </c>
      <c r="U15">
        <f t="shared" si="17"/>
        <v>222.34761696581768</v>
      </c>
      <c r="V15">
        <f t="shared" si="17"/>
        <v>239.01430103029728</v>
      </c>
      <c r="W15">
        <f t="shared" si="17"/>
        <v>256.57657688311207</v>
      </c>
      <c r="X15">
        <f t="shared" si="17"/>
        <v>275.08039387208379</v>
      </c>
      <c r="Y15">
        <f t="shared" si="17"/>
        <v>294.57402057788596</v>
      </c>
    </row>
    <row r="16" spans="1:25" x14ac:dyDescent="0.25">
      <c r="A16" t="s">
        <v>6</v>
      </c>
      <c r="B16">
        <v>25.62</v>
      </c>
      <c r="C16">
        <v>27.85</v>
      </c>
      <c r="D16">
        <v>27.937999999999999</v>
      </c>
      <c r="E16">
        <v>27.344999999999999</v>
      </c>
      <c r="F16">
        <v>27.949000000000002</v>
      </c>
      <c r="G16">
        <v>27.981000000000002</v>
      </c>
      <c r="H16">
        <v>27.983000000000001</v>
      </c>
      <c r="N16">
        <v>19.443000000000001</v>
      </c>
      <c r="O16">
        <v>23.902999999999999</v>
      </c>
      <c r="P16">
        <v>27.344999999999999</v>
      </c>
      <c r="Q16">
        <v>27.983000000000001</v>
      </c>
      <c r="R16">
        <v>27.983000000000001</v>
      </c>
      <c r="S16">
        <v>27.983000000000001</v>
      </c>
      <c r="T16">
        <v>27.983000000000001</v>
      </c>
      <c r="U16">
        <v>27.983000000000001</v>
      </c>
      <c r="V16">
        <v>27.983000000000001</v>
      </c>
      <c r="W16">
        <v>27.983000000000001</v>
      </c>
      <c r="X16">
        <v>27.983000000000001</v>
      </c>
      <c r="Y16">
        <v>27.983000000000001</v>
      </c>
    </row>
    <row r="17" spans="1:25" x14ac:dyDescent="0.25">
      <c r="A17" t="s">
        <v>58</v>
      </c>
      <c r="B17" s="5">
        <f t="shared" ref="B17:C17" si="18">B24/B16</f>
        <v>2.0976190476190477</v>
      </c>
      <c r="C17" s="5">
        <f t="shared" si="18"/>
        <v>2.1607899461400355</v>
      </c>
      <c r="D17" s="5">
        <f>D24/D16</f>
        <v>2.1509771637196651</v>
      </c>
      <c r="E17" s="5">
        <f t="shared" ref="E17:H17" si="19">E24/E16</f>
        <v>0</v>
      </c>
      <c r="F17" s="5">
        <f t="shared" si="19"/>
        <v>2.2674514293892445</v>
      </c>
      <c r="G17" s="5">
        <f t="shared" si="19"/>
        <v>2.2871234051677924</v>
      </c>
      <c r="H17" s="5">
        <f t="shared" si="19"/>
        <v>2.3153343101168566</v>
      </c>
      <c r="N17" s="5">
        <f t="shared" ref="N17" si="20">N24/N16</f>
        <v>5.0443861544000406</v>
      </c>
      <c r="O17" s="5">
        <f t="shared" ref="O17" si="21">O24/O16</f>
        <v>7.3205873739697953</v>
      </c>
      <c r="P17" s="5">
        <f t="shared" ref="P17:Q17" si="22">P24/P16</f>
        <v>8.5534466995794478</v>
      </c>
      <c r="Q17" s="5">
        <f t="shared" si="22"/>
        <v>9.1313080441696766</v>
      </c>
    </row>
    <row r="19" spans="1:25" x14ac:dyDescent="0.25">
      <c r="A19" t="s">
        <v>59</v>
      </c>
      <c r="F19" s="6">
        <f t="shared" ref="F19:G19" si="23">F6/B6-1</f>
        <v>0.17926020091777239</v>
      </c>
      <c r="G19" s="6">
        <f t="shared" si="23"/>
        <v>8.4327268085830243E-2</v>
      </c>
      <c r="H19" s="6">
        <f>H6/D6-1</f>
        <v>9.7950143193713757E-2</v>
      </c>
      <c r="O19" s="6">
        <f>O4/N4-1</f>
        <v>0.74985457158499846</v>
      </c>
      <c r="P19" s="6">
        <f t="shared" ref="P19:Y19" si="24">P4/O4-1</f>
        <v>0.34136230084428831</v>
      </c>
      <c r="Q19" s="6">
        <f>Q6/P6-1</f>
        <v>0.11397530024352398</v>
      </c>
      <c r="R19" s="6">
        <f t="shared" ref="R19:Y19" si="25">R6/Q6-1</f>
        <v>5.0000000000000044E-2</v>
      </c>
      <c r="S19" s="6">
        <f t="shared" si="25"/>
        <v>5.0000000000000044E-2</v>
      </c>
      <c r="T19" s="6">
        <f t="shared" si="25"/>
        <v>5.0000000000000044E-2</v>
      </c>
      <c r="U19" s="6">
        <f t="shared" si="25"/>
        <v>5.0000000000000044E-2</v>
      </c>
      <c r="V19" s="6">
        <f t="shared" si="25"/>
        <v>5.0000000000000044E-2</v>
      </c>
      <c r="W19" s="6">
        <f t="shared" si="25"/>
        <v>5.0000000000000044E-2</v>
      </c>
      <c r="X19" s="6">
        <f t="shared" si="25"/>
        <v>5.0000000000000044E-2</v>
      </c>
      <c r="Y19" s="6">
        <f t="shared" si="25"/>
        <v>5.0000000000000044E-2</v>
      </c>
    </row>
    <row r="21" spans="1:25" x14ac:dyDescent="0.25">
      <c r="A21" t="s">
        <v>60</v>
      </c>
      <c r="B21" s="6">
        <f t="shared" ref="B21:G21" si="26">B11/B6</f>
        <v>0.61820972342800462</v>
      </c>
      <c r="C21" s="6">
        <f t="shared" si="26"/>
        <v>0.62605834550637485</v>
      </c>
      <c r="D21" s="6">
        <f t="shared" si="26"/>
        <v>0.58344031714233313</v>
      </c>
      <c r="E21" s="6">
        <f t="shared" si="26"/>
        <v>0.57675877435744594</v>
      </c>
      <c r="F21" s="6">
        <f t="shared" si="26"/>
        <v>0.56998435589677521</v>
      </c>
      <c r="G21" s="6">
        <f t="shared" si="26"/>
        <v>0.56795322861216102</v>
      </c>
      <c r="H21" s="6">
        <f>H11/H6</f>
        <v>0.56342353455143523</v>
      </c>
      <c r="N21" s="6">
        <f t="shared" ref="N21:Q21" si="27">N11/N6</f>
        <v>0.5965730221735559</v>
      </c>
      <c r="O21" s="6">
        <f t="shared" si="27"/>
        <v>0.66179583575734169</v>
      </c>
      <c r="P21" s="6">
        <f t="shared" si="27"/>
        <v>0.60072586744053924</v>
      </c>
      <c r="Q21" s="6">
        <f t="shared" si="27"/>
        <v>0.56551211584855454</v>
      </c>
      <c r="R21" s="6">
        <f t="shared" ref="R21:Y21" si="28">R11/R6</f>
        <v>0.58007308369153532</v>
      </c>
      <c r="S21" s="6">
        <f t="shared" si="28"/>
        <v>0.59412675160605177</v>
      </c>
      <c r="T21" s="6">
        <f t="shared" si="28"/>
        <v>0.60769131664632126</v>
      </c>
      <c r="U21" s="6">
        <f t="shared" si="28"/>
        <v>0.62078430951824204</v>
      </c>
      <c r="V21" s="6">
        <f t="shared" si="28"/>
        <v>0.63342261932426269</v>
      </c>
      <c r="W21" s="6">
        <f t="shared" si="28"/>
        <v>0.64562251738082377</v>
      </c>
      <c r="X21" s="6">
        <f t="shared" si="28"/>
        <v>0.65739968014333994</v>
      </c>
      <c r="Y21" s="6">
        <f t="shared" si="28"/>
        <v>0.6687692112723661</v>
      </c>
    </row>
    <row r="22" spans="1:25" x14ac:dyDescent="0.25">
      <c r="A22" t="s">
        <v>61</v>
      </c>
      <c r="B22" s="6">
        <f t="shared" ref="B22:G22" si="29">B15/B6</f>
        <v>0.53996651370457649</v>
      </c>
      <c r="C22" s="6">
        <f t="shared" si="29"/>
        <v>0.56562805803349825</v>
      </c>
      <c r="D22" s="6">
        <f t="shared" si="29"/>
        <v>0.52590889211799718</v>
      </c>
      <c r="E22" s="6">
        <f t="shared" si="29"/>
        <v>0.53316018790536612</v>
      </c>
      <c r="F22" s="6">
        <f t="shared" si="29"/>
        <v>0.53547530466562376</v>
      </c>
      <c r="G22" s="6">
        <f t="shared" si="29"/>
        <v>0.5353466654459369</v>
      </c>
      <c r="H22" s="6">
        <f>H15/H6</f>
        <v>0.53010562022974328</v>
      </c>
      <c r="N22" s="6">
        <f t="shared" ref="N22:Q22" si="30">N15/N6</f>
        <v>0.55072885299753616</v>
      </c>
      <c r="O22" s="6">
        <f t="shared" si="30"/>
        <v>0.56870902611084762</v>
      </c>
      <c r="P22" s="6">
        <f t="shared" si="30"/>
        <v>0.54117289467685148</v>
      </c>
      <c r="Q22" s="6">
        <f t="shared" si="30"/>
        <v>0.53204204158357904</v>
      </c>
      <c r="R22" s="6">
        <f t="shared" ref="R22:Y22" si="31">R15/R6</f>
        <v>0.54847375988033786</v>
      </c>
      <c r="S22" s="6">
        <f t="shared" si="31"/>
        <v>0.56429326989977402</v>
      </c>
      <c r="T22" s="6">
        <f t="shared" si="31"/>
        <v>0.57952466861713126</v>
      </c>
      <c r="U22" s="6">
        <f t="shared" si="31"/>
        <v>0.59419105403726469</v>
      </c>
      <c r="V22" s="6">
        <f t="shared" si="31"/>
        <v>0.60831456873142453</v>
      </c>
      <c r="W22" s="6">
        <f t="shared" si="31"/>
        <v>0.62191644138303004</v>
      </c>
      <c r="X22" s="6">
        <f t="shared" si="31"/>
        <v>0.63501702643768876</v>
      </c>
      <c r="Y22" s="6">
        <f t="shared" si="31"/>
        <v>0.64763584194797408</v>
      </c>
    </row>
    <row r="24" spans="1:25" x14ac:dyDescent="0.25">
      <c r="A24" t="s">
        <v>62</v>
      </c>
      <c r="B24">
        <v>53.741</v>
      </c>
      <c r="C24">
        <v>60.177999999999997</v>
      </c>
      <c r="D24">
        <v>60.094000000000001</v>
      </c>
      <c r="F24">
        <v>63.372999999999998</v>
      </c>
      <c r="G24">
        <v>63.996000000000002</v>
      </c>
      <c r="H24">
        <v>64.790000000000006</v>
      </c>
      <c r="N24">
        <v>98.078000000000003</v>
      </c>
      <c r="O24">
        <v>174.98400000000001</v>
      </c>
      <c r="P24">
        <v>233.89400000000001</v>
      </c>
      <c r="Q24">
        <f>Q6*0.83</f>
        <v>255.52139300000005</v>
      </c>
      <c r="R24">
        <f t="shared" ref="R24:Y24" si="32">R6*0.83</f>
        <v>268.29746265000006</v>
      </c>
      <c r="S24">
        <f t="shared" si="32"/>
        <v>281.71233578250002</v>
      </c>
      <c r="T24">
        <f t="shared" si="32"/>
        <v>295.79795257162505</v>
      </c>
      <c r="U24">
        <f t="shared" si="32"/>
        <v>310.58785020020633</v>
      </c>
      <c r="V24">
        <f t="shared" si="32"/>
        <v>326.11724271021666</v>
      </c>
      <c r="W24">
        <f t="shared" si="32"/>
        <v>342.42310484572744</v>
      </c>
      <c r="X24">
        <f t="shared" si="32"/>
        <v>359.54426008801386</v>
      </c>
      <c r="Y24">
        <f t="shared" si="32"/>
        <v>377.52147309241457</v>
      </c>
    </row>
    <row r="25" spans="1:25" x14ac:dyDescent="0.25">
      <c r="A25" t="s">
        <v>63</v>
      </c>
      <c r="B25">
        <v>38.799999999999997</v>
      </c>
      <c r="C25">
        <v>46.2</v>
      </c>
      <c r="D25">
        <v>49.4</v>
      </c>
      <c r="F25">
        <f>50.742+0.338</f>
        <v>51.08</v>
      </c>
      <c r="G25">
        <f>50.742+0.338</f>
        <v>51.08</v>
      </c>
      <c r="H25">
        <f>50.725+0.338</f>
        <v>51.063000000000002</v>
      </c>
      <c r="N25">
        <f>75.464+1.352</f>
        <v>76.816000000000003</v>
      </c>
      <c r="O25">
        <f>130.954+1.352</f>
        <v>132.30600000000001</v>
      </c>
      <c r="P25">
        <f>183.943+1.352</f>
        <v>185.29500000000002</v>
      </c>
      <c r="Q25">
        <f>P25*1.06</f>
        <v>196.41270000000003</v>
      </c>
      <c r="R25">
        <f t="shared" ref="R25:Y25" si="33">Q25*1.06</f>
        <v>208.19746200000003</v>
      </c>
      <c r="S25">
        <f t="shared" si="33"/>
        <v>220.68930972000004</v>
      </c>
      <c r="T25">
        <f t="shared" si="33"/>
        <v>233.93066830320006</v>
      </c>
      <c r="U25">
        <f t="shared" si="33"/>
        <v>247.96650840139208</v>
      </c>
      <c r="V25">
        <f t="shared" si="33"/>
        <v>262.84449890547563</v>
      </c>
      <c r="W25">
        <f t="shared" si="33"/>
        <v>278.6151688398042</v>
      </c>
      <c r="X25">
        <f t="shared" si="33"/>
        <v>295.33207897019247</v>
      </c>
      <c r="Y25">
        <f t="shared" si="33"/>
        <v>313.05200370840402</v>
      </c>
    </row>
    <row r="26" spans="1:25" x14ac:dyDescent="0.25">
      <c r="A26" t="s">
        <v>64</v>
      </c>
      <c r="B26" s="6">
        <f t="shared" ref="B26" si="34">B25/B24</f>
        <v>0.72198135501758431</v>
      </c>
      <c r="C26" s="6">
        <f>C25/C24</f>
        <v>0.76772242347701825</v>
      </c>
      <c r="D26" s="6">
        <f t="shared" ref="D26:H26" si="35">D25/D24</f>
        <v>0.82204546210936191</v>
      </c>
      <c r="E26" s="6" t="e">
        <f t="shared" si="35"/>
        <v>#DIV/0!</v>
      </c>
      <c r="F26" s="6">
        <f t="shared" si="35"/>
        <v>0.8060214918025026</v>
      </c>
      <c r="G26" s="6">
        <f t="shared" si="35"/>
        <v>0.79817488593037056</v>
      </c>
      <c r="H26" s="6">
        <f t="shared" si="35"/>
        <v>0.78813088439574008</v>
      </c>
      <c r="N26" s="6">
        <f t="shared" ref="N26" si="36">N25/N24</f>
        <v>0.78321336079446968</v>
      </c>
      <c r="O26" s="6">
        <f t="shared" ref="O26" si="37">O25/O24</f>
        <v>0.75610341516938695</v>
      </c>
      <c r="P26" s="6">
        <f t="shared" ref="P26:Y26" si="38">P25/P24</f>
        <v>0.79221784227043024</v>
      </c>
      <c r="Q26" s="6">
        <f t="shared" si="38"/>
        <v>0.7686741908142305</v>
      </c>
      <c r="R26" s="6">
        <f t="shared" si="38"/>
        <v>0.77599489739341365</v>
      </c>
      <c r="S26" s="6">
        <f t="shared" si="38"/>
        <v>0.7833853249876368</v>
      </c>
      <c r="T26" s="6">
        <f t="shared" si="38"/>
        <v>0.79084613760656663</v>
      </c>
      <c r="U26" s="6">
        <f t="shared" si="38"/>
        <v>0.79837800558377203</v>
      </c>
      <c r="V26" s="6">
        <f t="shared" si="38"/>
        <v>0.80598160563695087</v>
      </c>
      <c r="W26" s="6">
        <f t="shared" si="38"/>
        <v>0.81365762092873151</v>
      </c>
      <c r="X26" s="6">
        <f t="shared" si="38"/>
        <v>0.82140674112805279</v>
      </c>
      <c r="Y26" s="6">
        <f t="shared" si="38"/>
        <v>0.82922966247212937</v>
      </c>
    </row>
    <row r="27" spans="1:25" x14ac:dyDescent="0.25">
      <c r="A27" t="s">
        <v>65</v>
      </c>
      <c r="F27">
        <v>108</v>
      </c>
      <c r="H27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Cadal Duarte Morais</dc:creator>
  <cp:keywords/>
  <dc:description/>
  <cp:lastModifiedBy>Alexandre Duarte Morais</cp:lastModifiedBy>
  <cp:revision/>
  <dcterms:created xsi:type="dcterms:W3CDTF">2023-11-03T19:47:24Z</dcterms:created>
  <dcterms:modified xsi:type="dcterms:W3CDTF">2023-11-04T13:07:56Z</dcterms:modified>
  <cp:category/>
  <cp:contentStatus/>
</cp:coreProperties>
</file>