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hdisegutl-my.sharepoint.com/personal/l59357_aln_iseg_ulisboa_pt/Documents/Models/"/>
    </mc:Choice>
  </mc:AlternateContent>
  <xr:revisionPtr revIDLastSave="993" documentId="8_{8C2996B0-1119-468F-8CFB-5830461D280D}" xr6:coauthVersionLast="47" xr6:coauthVersionMax="47" xr10:uidLastSave="{F65FB989-4595-46B4-AD2B-BC6F4A406D02}"/>
  <bookViews>
    <workbookView xWindow="11424" yWindow="0" windowWidth="11712" windowHeight="12336" activeTab="1" xr2:uid="{12214B5B-8044-4323-A717-5650132BE39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6" i="2" l="1"/>
  <c r="M45" i="2"/>
  <c r="M44" i="2"/>
  <c r="M35" i="2"/>
  <c r="M34" i="2"/>
  <c r="M33" i="2"/>
  <c r="M32" i="2"/>
  <c r="M31" i="2"/>
  <c r="M30" i="2"/>
  <c r="M5" i="2"/>
  <c r="M12" i="2" s="1"/>
  <c r="M14" i="2" s="1"/>
  <c r="W18" i="2"/>
  <c r="V18" i="2"/>
  <c r="AB45" i="2"/>
  <c r="AA45" i="2"/>
  <c r="Z45" i="2"/>
  <c r="Y45" i="2"/>
  <c r="X45" i="2"/>
  <c r="W45" i="2"/>
  <c r="V45" i="2"/>
  <c r="AB40" i="2"/>
  <c r="AA40" i="2"/>
  <c r="Z40" i="2"/>
  <c r="Y40" i="2"/>
  <c r="X40" i="2"/>
  <c r="W40" i="2"/>
  <c r="V40" i="2"/>
  <c r="AB19" i="2"/>
  <c r="AA19" i="2"/>
  <c r="Z19" i="2"/>
  <c r="Y19" i="2"/>
  <c r="X19" i="2"/>
  <c r="W19" i="2"/>
  <c r="V19" i="2"/>
  <c r="W6" i="2"/>
  <c r="X6" i="2" s="1"/>
  <c r="V6" i="2"/>
  <c r="V39" i="2" s="1"/>
  <c r="V21" i="2"/>
  <c r="AB37" i="2"/>
  <c r="AA37" i="2"/>
  <c r="Z37" i="2"/>
  <c r="Y37" i="2"/>
  <c r="X37" i="2"/>
  <c r="W37" i="2"/>
  <c r="V37" i="2"/>
  <c r="V38" i="2" s="1"/>
  <c r="AE6" i="2"/>
  <c r="X2" i="2"/>
  <c r="Y2" i="2" s="1"/>
  <c r="Z2" i="2" s="1"/>
  <c r="AA2" i="2" s="1"/>
  <c r="AB2" i="2" s="1"/>
  <c r="W2" i="2"/>
  <c r="U48" i="2"/>
  <c r="AB32" i="2"/>
  <c r="AA32" i="2"/>
  <c r="Z32" i="2"/>
  <c r="Y32" i="2"/>
  <c r="X32" i="2"/>
  <c r="W32" i="2"/>
  <c r="V32" i="2"/>
  <c r="W31" i="2"/>
  <c r="V31" i="2"/>
  <c r="W4" i="2"/>
  <c r="X4" i="2" s="1"/>
  <c r="Y4" i="2" s="1"/>
  <c r="Z4" i="2" s="1"/>
  <c r="AA4" i="2" s="1"/>
  <c r="AB4" i="2" s="1"/>
  <c r="W3" i="2"/>
  <c r="X3" i="2" s="1"/>
  <c r="Y3" i="2" s="1"/>
  <c r="Z3" i="2" s="1"/>
  <c r="AA3" i="2" s="1"/>
  <c r="AB3" i="2" s="1"/>
  <c r="V2" i="2"/>
  <c r="V5" i="2" s="1"/>
  <c r="V4" i="2"/>
  <c r="V3" i="2"/>
  <c r="G35" i="2"/>
  <c r="C22" i="2"/>
  <c r="C24" i="2" s="1"/>
  <c r="C26" i="2" s="1"/>
  <c r="C42" i="2"/>
  <c r="C40" i="2"/>
  <c r="C38" i="2"/>
  <c r="C12" i="2"/>
  <c r="C14" i="2" s="1"/>
  <c r="C44" i="2" s="1"/>
  <c r="G34" i="2"/>
  <c r="G33" i="2"/>
  <c r="G32" i="2"/>
  <c r="G31" i="2"/>
  <c r="S9" i="2"/>
  <c r="Q5" i="2"/>
  <c r="Q12" i="2" s="1"/>
  <c r="Q14" i="2" s="1"/>
  <c r="Q18" i="2"/>
  <c r="S42" i="2"/>
  <c r="R42" i="2"/>
  <c r="S38" i="2"/>
  <c r="R38" i="2"/>
  <c r="T34" i="2"/>
  <c r="T33" i="2"/>
  <c r="T32" i="2"/>
  <c r="S32" i="2"/>
  <c r="T31" i="2"/>
  <c r="S31" i="2"/>
  <c r="H35" i="2"/>
  <c r="H34" i="2"/>
  <c r="H33" i="2"/>
  <c r="H32" i="2"/>
  <c r="H31" i="2"/>
  <c r="D38" i="2"/>
  <c r="D40" i="2"/>
  <c r="D42" i="2"/>
  <c r="H38" i="2"/>
  <c r="E42" i="2"/>
  <c r="E40" i="2"/>
  <c r="E38" i="2"/>
  <c r="I40" i="2"/>
  <c r="I42" i="2"/>
  <c r="H42" i="2"/>
  <c r="H40" i="2"/>
  <c r="I38" i="2"/>
  <c r="I35" i="2"/>
  <c r="I34" i="2"/>
  <c r="I33" i="2"/>
  <c r="I32" i="2"/>
  <c r="I31" i="2"/>
  <c r="U96" i="2"/>
  <c r="R108" i="2"/>
  <c r="U108" i="2"/>
  <c r="T108" i="2"/>
  <c r="S108" i="2"/>
  <c r="T96" i="2"/>
  <c r="S96" i="2"/>
  <c r="R96" i="2"/>
  <c r="U35" i="2"/>
  <c r="U34" i="2"/>
  <c r="U33" i="2"/>
  <c r="U32" i="2"/>
  <c r="U31" i="2"/>
  <c r="U5" i="2"/>
  <c r="U12" i="2" s="1"/>
  <c r="U14" i="2" s="1"/>
  <c r="U44" i="2" s="1"/>
  <c r="T5" i="2"/>
  <c r="T40" i="2" s="1"/>
  <c r="S5" i="2"/>
  <c r="R5" i="2"/>
  <c r="R12" i="2" s="1"/>
  <c r="R14" i="2" s="1"/>
  <c r="R44" i="2" s="1"/>
  <c r="T38" i="2"/>
  <c r="T42" i="2"/>
  <c r="U42" i="2"/>
  <c r="U40" i="2"/>
  <c r="U38" i="2"/>
  <c r="F38" i="2"/>
  <c r="F42" i="2"/>
  <c r="F40" i="2"/>
  <c r="J42" i="2"/>
  <c r="J40" i="2"/>
  <c r="J38" i="2"/>
  <c r="J35" i="2"/>
  <c r="J34" i="2"/>
  <c r="J33" i="2"/>
  <c r="J32" i="2"/>
  <c r="J31" i="2"/>
  <c r="S1" i="2"/>
  <c r="T1" i="2" s="1"/>
  <c r="U1" i="2" s="1"/>
  <c r="V1" i="2" s="1"/>
  <c r="W1" i="2" s="1"/>
  <c r="X1" i="2" s="1"/>
  <c r="Y1" i="2" s="1"/>
  <c r="Z1" i="2" s="1"/>
  <c r="AA1" i="2" s="1"/>
  <c r="AB1" i="2" s="1"/>
  <c r="X18" i="2"/>
  <c r="U18" i="2"/>
  <c r="T18" i="2"/>
  <c r="S18" i="2"/>
  <c r="R18" i="2"/>
  <c r="N12" i="2"/>
  <c r="N14" i="2" s="1"/>
  <c r="G42" i="2"/>
  <c r="G40" i="2"/>
  <c r="G38" i="2"/>
  <c r="K42" i="2"/>
  <c r="K40" i="2"/>
  <c r="K38" i="2"/>
  <c r="K31" i="2"/>
  <c r="K35" i="2"/>
  <c r="K34" i="2"/>
  <c r="K33" i="2"/>
  <c r="K32" i="2"/>
  <c r="B6" i="1"/>
  <c r="B5" i="1"/>
  <c r="B4" i="1"/>
  <c r="L42" i="2"/>
  <c r="L40" i="2"/>
  <c r="L38" i="2"/>
  <c r="L32" i="2"/>
  <c r="L35" i="2"/>
  <c r="L34" i="2"/>
  <c r="L33" i="2"/>
  <c r="L31" i="2"/>
  <c r="K5" i="2"/>
  <c r="K12" i="2" s="1"/>
  <c r="J5" i="2"/>
  <c r="J12" i="2" s="1"/>
  <c r="J14" i="2" s="1"/>
  <c r="J44" i="2" s="1"/>
  <c r="I5" i="2"/>
  <c r="I12" i="2" s="1"/>
  <c r="H5" i="2"/>
  <c r="H12" i="2" s="1"/>
  <c r="H14" i="2" s="1"/>
  <c r="H44" i="2" s="1"/>
  <c r="G5" i="2"/>
  <c r="G12" i="2" s="1"/>
  <c r="G14" i="2" s="1"/>
  <c r="G44" i="2" s="1"/>
  <c r="F5" i="2"/>
  <c r="F12" i="2" s="1"/>
  <c r="F14" i="2" s="1"/>
  <c r="F44" i="2" s="1"/>
  <c r="E5" i="2"/>
  <c r="E12" i="2" s="1"/>
  <c r="E14" i="2" s="1"/>
  <c r="E44" i="2" s="1"/>
  <c r="D5" i="2"/>
  <c r="D12" i="2" s="1"/>
  <c r="D14" i="2" s="1"/>
  <c r="D44" i="2" s="1"/>
  <c r="C5" i="2"/>
  <c r="L5" i="2"/>
  <c r="L12" i="2" s="1"/>
  <c r="L108" i="2"/>
  <c r="L96" i="2"/>
  <c r="L85" i="2"/>
  <c r="J48" i="2"/>
  <c r="J68" i="2"/>
  <c r="J59" i="2"/>
  <c r="L48" i="2"/>
  <c r="L68" i="2"/>
  <c r="L59" i="2"/>
  <c r="N18" i="2"/>
  <c r="M18" i="2"/>
  <c r="K18" i="2"/>
  <c r="J18" i="2"/>
  <c r="I18" i="2"/>
  <c r="H18" i="2"/>
  <c r="G18" i="2"/>
  <c r="F18" i="2"/>
  <c r="E18" i="2"/>
  <c r="D18" i="2"/>
  <c r="C18" i="2"/>
  <c r="L18" i="2"/>
  <c r="Y18" i="2" l="1"/>
  <c r="Y6" i="2"/>
  <c r="X39" i="2"/>
  <c r="W39" i="2"/>
  <c r="V12" i="2"/>
  <c r="V22" i="2"/>
  <c r="W5" i="2"/>
  <c r="C28" i="2"/>
  <c r="C46" i="2"/>
  <c r="G30" i="2"/>
  <c r="S12" i="2"/>
  <c r="S14" i="2" s="1"/>
  <c r="S19" i="2" s="1"/>
  <c r="S22" i="2" s="1"/>
  <c r="S24" i="2" s="1"/>
  <c r="S26" i="2" s="1"/>
  <c r="S28" i="2" s="1"/>
  <c r="Q19" i="2"/>
  <c r="Q22" i="2" s="1"/>
  <c r="Q24" i="2" s="1"/>
  <c r="Q26" i="2" s="1"/>
  <c r="Q28" i="2" s="1"/>
  <c r="I14" i="2"/>
  <c r="I44" i="2" s="1"/>
  <c r="I30" i="2"/>
  <c r="R40" i="2"/>
  <c r="S40" i="2"/>
  <c r="H30" i="2"/>
  <c r="S44" i="2"/>
  <c r="R19" i="2"/>
  <c r="K14" i="2"/>
  <c r="K44" i="2" s="1"/>
  <c r="K30" i="2"/>
  <c r="B7" i="1"/>
  <c r="J30" i="2"/>
  <c r="T12" i="2"/>
  <c r="U19" i="2"/>
  <c r="D19" i="2"/>
  <c r="L30" i="2"/>
  <c r="L14" i="2"/>
  <c r="L19" i="2" s="1"/>
  <c r="L22" i="2" s="1"/>
  <c r="L24" i="2" s="1"/>
  <c r="L26" i="2" s="1"/>
  <c r="L28" i="2" s="1"/>
  <c r="N19" i="2"/>
  <c r="N22" i="2" s="1"/>
  <c r="N24" i="2" s="1"/>
  <c r="N26" i="2" s="1"/>
  <c r="N28" i="2" s="1"/>
  <c r="M19" i="2"/>
  <c r="M22" i="2" s="1"/>
  <c r="M24" i="2" s="1"/>
  <c r="M26" i="2" s="1"/>
  <c r="M28" i="2" s="1"/>
  <c r="G19" i="2"/>
  <c r="L69" i="2"/>
  <c r="J19" i="2"/>
  <c r="F19" i="2"/>
  <c r="L109" i="2"/>
  <c r="H19" i="2"/>
  <c r="I19" i="2"/>
  <c r="C19" i="2"/>
  <c r="C45" i="2" s="1"/>
  <c r="E19" i="2"/>
  <c r="J69" i="2"/>
  <c r="Z18" i="2" l="1"/>
  <c r="V23" i="2"/>
  <c r="V24" i="2" s="1"/>
  <c r="V26" i="2" s="1"/>
  <c r="V46" i="2" s="1"/>
  <c r="Y39" i="2"/>
  <c r="Z6" i="2"/>
  <c r="V14" i="2"/>
  <c r="V30" i="2"/>
  <c r="W12" i="2"/>
  <c r="X31" i="2"/>
  <c r="X5" i="2"/>
  <c r="S30" i="2"/>
  <c r="T14" i="2"/>
  <c r="T44" i="2" s="1"/>
  <c r="T30" i="2"/>
  <c r="I22" i="2"/>
  <c r="I24" i="2" s="1"/>
  <c r="I26" i="2" s="1"/>
  <c r="I45" i="2"/>
  <c r="S45" i="2"/>
  <c r="S71" i="2"/>
  <c r="S85" i="2" s="1"/>
  <c r="S109" i="2" s="1"/>
  <c r="S46" i="2"/>
  <c r="R22" i="2"/>
  <c r="R24" i="2" s="1"/>
  <c r="R45" i="2"/>
  <c r="D22" i="2"/>
  <c r="D24" i="2" s="1"/>
  <c r="D26" i="2" s="1"/>
  <c r="D45" i="2"/>
  <c r="E22" i="2"/>
  <c r="E24" i="2" s="1"/>
  <c r="E26" i="2" s="1"/>
  <c r="E45" i="2"/>
  <c r="U30" i="2"/>
  <c r="K19" i="2"/>
  <c r="G22" i="2"/>
  <c r="G24" i="2" s="1"/>
  <c r="G26" i="2" s="1"/>
  <c r="G45" i="2"/>
  <c r="F22" i="2"/>
  <c r="F24" i="2" s="1"/>
  <c r="F26" i="2" s="1"/>
  <c r="F45" i="2"/>
  <c r="J22" i="2"/>
  <c r="J24" i="2" s="1"/>
  <c r="J26" i="2" s="1"/>
  <c r="J45" i="2"/>
  <c r="T19" i="2"/>
  <c r="T45" i="2" s="1"/>
  <c r="U22" i="2"/>
  <c r="U24" i="2" s="1"/>
  <c r="U71" i="2" s="1"/>
  <c r="U85" i="2" s="1"/>
  <c r="U45" i="2"/>
  <c r="L44" i="2"/>
  <c r="L45" i="2"/>
  <c r="L46" i="2"/>
  <c r="H45" i="2"/>
  <c r="H22" i="2"/>
  <c r="H24" i="2" s="1"/>
  <c r="H26" i="2" s="1"/>
  <c r="AB18" i="2" l="1"/>
  <c r="AA18" i="2"/>
  <c r="V28" i="2"/>
  <c r="V48" i="2"/>
  <c r="W21" i="2" s="1"/>
  <c r="AA6" i="2"/>
  <c r="Z39" i="2"/>
  <c r="X12" i="2"/>
  <c r="Y5" i="2"/>
  <c r="Y31" i="2"/>
  <c r="W38" i="2"/>
  <c r="W14" i="2"/>
  <c r="W30" i="2"/>
  <c r="I28" i="2"/>
  <c r="I46" i="2"/>
  <c r="R71" i="2"/>
  <c r="R85" i="2" s="1"/>
  <c r="R109" i="2" s="1"/>
  <c r="R26" i="2"/>
  <c r="D28" i="2"/>
  <c r="D46" i="2"/>
  <c r="E28" i="2"/>
  <c r="E46" i="2"/>
  <c r="U109" i="2"/>
  <c r="U111" i="2"/>
  <c r="G28" i="2"/>
  <c r="G46" i="2"/>
  <c r="F28" i="2"/>
  <c r="F46" i="2"/>
  <c r="K22" i="2"/>
  <c r="K24" i="2" s="1"/>
  <c r="K26" i="2" s="1"/>
  <c r="K45" i="2"/>
  <c r="J28" i="2"/>
  <c r="J46" i="2"/>
  <c r="U26" i="2"/>
  <c r="U28" i="2" s="1"/>
  <c r="T22" i="2"/>
  <c r="T24" i="2" s="1"/>
  <c r="H28" i="2"/>
  <c r="H46" i="2"/>
  <c r="AB6" i="2" l="1"/>
  <c r="AB39" i="2" s="1"/>
  <c r="AA39" i="2"/>
  <c r="W22" i="2"/>
  <c r="Z31" i="2"/>
  <c r="Z5" i="2"/>
  <c r="X38" i="2"/>
  <c r="Y12" i="2"/>
  <c r="X14" i="2"/>
  <c r="X30" i="2"/>
  <c r="R28" i="2"/>
  <c r="R46" i="2"/>
  <c r="T26" i="2"/>
  <c r="T28" i="2" s="1"/>
  <c r="T71" i="2"/>
  <c r="T85" i="2" s="1"/>
  <c r="K28" i="2"/>
  <c r="K46" i="2"/>
  <c r="U46" i="2"/>
  <c r="W23" i="2" l="1"/>
  <c r="W24" i="2" s="1"/>
  <c r="W26" i="2" s="1"/>
  <c r="W46" i="2" s="1"/>
  <c r="Y14" i="2"/>
  <c r="Y30" i="2"/>
  <c r="AA31" i="2"/>
  <c r="AA5" i="2"/>
  <c r="Z12" i="2"/>
  <c r="Y38" i="2"/>
  <c r="T109" i="2"/>
  <c r="T111" i="2"/>
  <c r="T46" i="2"/>
  <c r="W28" i="2" l="1"/>
  <c r="W48" i="2"/>
  <c r="X21" i="2" s="1"/>
  <c r="X22" i="2" s="1"/>
  <c r="Z14" i="2"/>
  <c r="Z30" i="2"/>
  <c r="AB5" i="2"/>
  <c r="AB31" i="2"/>
  <c r="Z38" i="2"/>
  <c r="AA12" i="2"/>
  <c r="X23" i="2" l="1"/>
  <c r="X24" i="2" s="1"/>
  <c r="X26" i="2" s="1"/>
  <c r="AA38" i="2"/>
  <c r="AA14" i="2"/>
  <c r="AA30" i="2"/>
  <c r="AB12" i="2"/>
  <c r="X28" i="2" l="1"/>
  <c r="X46" i="2"/>
  <c r="X48" i="2"/>
  <c r="Y21" i="2" s="1"/>
  <c r="Y22" i="2" s="1"/>
  <c r="AB14" i="2"/>
  <c r="AB30" i="2"/>
  <c r="AB38" i="2"/>
  <c r="Y23" i="2" l="1"/>
  <c r="Y24" i="2" s="1"/>
  <c r="Y26" i="2" s="1"/>
  <c r="Y28" i="2" l="1"/>
  <c r="Y46" i="2"/>
  <c r="Y48" i="2"/>
  <c r="Z21" i="2" s="1"/>
  <c r="Z22" i="2" s="1"/>
  <c r="Z23" i="2" s="1"/>
  <c r="Z24" i="2" s="1"/>
  <c r="Z26" i="2" s="1"/>
  <c r="Z46" i="2" s="1"/>
  <c r="Z28" i="2" l="1"/>
  <c r="Z48" i="2"/>
  <c r="AA21" i="2" s="1"/>
  <c r="AA22" i="2" s="1"/>
  <c r="AA23" i="2" l="1"/>
  <c r="AA24" i="2" s="1"/>
  <c r="AA26" i="2" s="1"/>
  <c r="AA28" i="2" l="1"/>
  <c r="AA46" i="2"/>
  <c r="AA48" i="2"/>
  <c r="AB21" i="2" s="1"/>
  <c r="AB22" i="2" s="1"/>
  <c r="AB23" i="2" l="1"/>
  <c r="AB24" i="2" s="1"/>
  <c r="AB26" i="2" s="1"/>
  <c r="AB46" i="2" s="1"/>
  <c r="AB28" i="2" l="1"/>
  <c r="AC26" i="2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AE5" i="2" s="1"/>
  <c r="AE7" i="2" s="1"/>
  <c r="AE8" i="2" s="1"/>
  <c r="AB48" i="2"/>
</calcChain>
</file>

<file path=xl/sharedStrings.xml><?xml version="1.0" encoding="utf-8"?>
<sst xmlns="http://schemas.openxmlformats.org/spreadsheetml/2006/main" count="158" uniqueCount="149">
  <si>
    <t>main</t>
  </si>
  <si>
    <t>Revenue</t>
  </si>
  <si>
    <t>COGS</t>
  </si>
  <si>
    <t>Gross Profit</t>
  </si>
  <si>
    <t>R&amp;D</t>
  </si>
  <si>
    <t>M,G&amp;A</t>
  </si>
  <si>
    <t>Restrucuting</t>
  </si>
  <si>
    <t>Total Opex</t>
  </si>
  <si>
    <t>Operating Income</t>
  </si>
  <si>
    <t>Gains on investments</t>
  </si>
  <si>
    <t>Interest and others</t>
  </si>
  <si>
    <t>Pretax Income</t>
  </si>
  <si>
    <t>Taxes</t>
  </si>
  <si>
    <t>Net Income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</si>
  <si>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</si>
  <si>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</si>
  <si>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</si>
  <si>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</si>
  <si>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</si>
  <si>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</si>
  <si>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</si>
  <si>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</si>
  <si>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</si>
  <si>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</si>
  <si>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</si>
  <si>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</si>
  <si>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Shares</t>
  </si>
  <si>
    <t>EPS</t>
  </si>
  <si>
    <t>Net Income to shareholders</t>
  </si>
  <si>
    <t>Non-controlling</t>
  </si>
  <si>
    <t>Revenue Y/Y</t>
  </si>
  <si>
    <t>Gross Margin</t>
  </si>
  <si>
    <t>Operating Margin</t>
  </si>
  <si>
    <t>Net Margin</t>
  </si>
  <si>
    <t>net cash</t>
  </si>
  <si>
    <t>cash</t>
  </si>
  <si>
    <t>ST investments</t>
  </si>
  <si>
    <t>AR</t>
  </si>
  <si>
    <t>Inventories</t>
  </si>
  <si>
    <t>Other CA</t>
  </si>
  <si>
    <t>PPE</t>
  </si>
  <si>
    <t>LT investments</t>
  </si>
  <si>
    <t>Goodwill</t>
  </si>
  <si>
    <t>Intangible assets</t>
  </si>
  <si>
    <t>Other LT assets</t>
  </si>
  <si>
    <t>Total Assets</t>
  </si>
  <si>
    <t>ST debt</t>
  </si>
  <si>
    <t>AP</t>
  </si>
  <si>
    <t>Accrued compensation</t>
  </si>
  <si>
    <t>Income taxes payable</t>
  </si>
  <si>
    <t>Other accrued liabilities</t>
  </si>
  <si>
    <t>LT debt</t>
  </si>
  <si>
    <t>Other LT liabilities</t>
  </si>
  <si>
    <t>Total Liabilities</t>
  </si>
  <si>
    <t>S/E</t>
  </si>
  <si>
    <t>Depreciation</t>
  </si>
  <si>
    <t>SBC</t>
  </si>
  <si>
    <t>Restructuring</t>
  </si>
  <si>
    <t>Amortization of intangibles</t>
  </si>
  <si>
    <t>Gains on equity investments</t>
  </si>
  <si>
    <t>Accounts payable</t>
  </si>
  <si>
    <t>Income Taxes</t>
  </si>
  <si>
    <t>Other assets</t>
  </si>
  <si>
    <t>CFFO</t>
  </si>
  <si>
    <t>Addtions of PPE</t>
  </si>
  <si>
    <t>capital-related government incentives</t>
  </si>
  <si>
    <t>Purchases of ST investments</t>
  </si>
  <si>
    <t>Maturities and sales of ST investments</t>
  </si>
  <si>
    <t>Other investing</t>
  </si>
  <si>
    <t>CFFI</t>
  </si>
  <si>
    <t>Issuance of commercial paper</t>
  </si>
  <si>
    <t>Repayment of commercial paper</t>
  </si>
  <si>
    <t>Payments on finance leases</t>
  </si>
  <si>
    <t>Partner contributions</t>
  </si>
  <si>
    <t>sales of subsidiary shares</t>
  </si>
  <si>
    <t>Issuance of long-term deb</t>
  </si>
  <si>
    <t>Repayment of debt</t>
  </si>
  <si>
    <t>sales of stocks through employee</t>
  </si>
  <si>
    <t>Dividend payments</t>
  </si>
  <si>
    <t xml:space="preserve">Other financing </t>
  </si>
  <si>
    <t>CFFF</t>
  </si>
  <si>
    <t>Net change in cash 6M</t>
  </si>
  <si>
    <t>Desktop</t>
  </si>
  <si>
    <t xml:space="preserve">Notebook </t>
  </si>
  <si>
    <t>Other</t>
  </si>
  <si>
    <t>Total Client Computing Group</t>
  </si>
  <si>
    <t>Data Center and AI</t>
  </si>
  <si>
    <t>Network and Edge</t>
  </si>
  <si>
    <t>Intel Foundry</t>
  </si>
  <si>
    <t>Inter segment eliminations</t>
  </si>
  <si>
    <t>Others</t>
  </si>
  <si>
    <t>Data Center and AI y/y</t>
  </si>
  <si>
    <t>Network and Edge y/y</t>
  </si>
  <si>
    <t>Intel Foundry y/y</t>
  </si>
  <si>
    <t>Desktop y/y</t>
  </si>
  <si>
    <t>Notebook y/y</t>
  </si>
  <si>
    <t>Client Computing Group OP Income</t>
  </si>
  <si>
    <t>Data Center and AI OP Income</t>
  </si>
  <si>
    <t>Network and Edge OP Income</t>
  </si>
  <si>
    <t>OM %</t>
  </si>
  <si>
    <t>ticket</t>
  </si>
  <si>
    <t>price</t>
  </si>
  <si>
    <t>shares</t>
  </si>
  <si>
    <t>mc</t>
  </si>
  <si>
    <t>debt</t>
  </si>
  <si>
    <t>ev</t>
  </si>
  <si>
    <t>INTC</t>
  </si>
  <si>
    <t>Founded</t>
  </si>
  <si>
    <t>Founder</t>
  </si>
  <si>
    <t>CEO</t>
  </si>
  <si>
    <t>HQ</t>
  </si>
  <si>
    <t>IPO</t>
  </si>
  <si>
    <t>Industry</t>
  </si>
  <si>
    <t>Employees</t>
  </si>
  <si>
    <t>Semiconductors</t>
  </si>
  <si>
    <t>120k</t>
  </si>
  <si>
    <t>Patrick Gelsinger</t>
  </si>
  <si>
    <t>Santa Clara, CA, US</t>
  </si>
  <si>
    <t>Robert Noyce and Gordon Moore</t>
  </si>
  <si>
    <t>AMD</t>
  </si>
  <si>
    <t>Nvidia</t>
  </si>
  <si>
    <t>Qualcomm</t>
  </si>
  <si>
    <t>TSMC</t>
  </si>
  <si>
    <t>Competitors:</t>
  </si>
  <si>
    <t>Infos:</t>
  </si>
  <si>
    <t>Intel is investing heavily in building semiconductor foundries in the U.S. and Europe to reduce reliance on Asian manufacturers.</t>
  </si>
  <si>
    <t>Key Products:</t>
  </si>
  <si>
    <t>Intel Core Processors (i3, i5, i7, i9)</t>
  </si>
  <si>
    <t>Intel Xeon Processors (server and data center)</t>
  </si>
  <si>
    <t>Intel Arc (graphics products)</t>
  </si>
  <si>
    <t>Intel Optane (memory and storage solutions)</t>
  </si>
  <si>
    <t>Mobileye technology (autonomous driving systems)</t>
  </si>
  <si>
    <t>Purchases of equity investments</t>
  </si>
  <si>
    <t>Sales of equity investments</t>
  </si>
  <si>
    <t>Proceeds from divestitures</t>
  </si>
  <si>
    <t>FCF</t>
  </si>
  <si>
    <t>Gains on divertitures</t>
  </si>
  <si>
    <t>Prepaid customer supply agreements</t>
  </si>
  <si>
    <t>held for sale NAND PPE</t>
  </si>
  <si>
    <t>planned implementation of cost-reduction measures, including reductions in headcount, other operating expenditures, capital expenditures, and cost of sales</t>
  </si>
  <si>
    <t>suspended the declaration of dividends on our common stock starting with Q4 2024</t>
  </si>
  <si>
    <t>Updates:</t>
  </si>
  <si>
    <t>ROIC</t>
  </si>
  <si>
    <t>Maturity</t>
  </si>
  <si>
    <t>Discount</t>
  </si>
  <si>
    <t>NPV</t>
  </si>
  <si>
    <t>Net Cash</t>
  </si>
  <si>
    <t>Mkt value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</si>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</sst>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%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165" fontId="1" fillId="0" borderId="0" xfId="0" applyNumberFormat="1" applyFont="1"/>
    <xf numFmtId="0" fontId="4" fillId="0" borderId="0" xfId="1" applyFont="1"/>
    <xf numFmtId="165" fontId="3" fillId="0" borderId="0" xfId="0" applyNumberFormat="1" applyFont="1"/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19050</xdr:rowOff>
    </xdr:from>
    <xdr:to>
      <xdr:col>12</xdr:col>
      <xdr:colOff>19050</xdr:colOff>
      <xdr:row>117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26C2C81-965B-286B-C6B5-36A76FBF6CF9}"/>
            </a:ext>
          </a:extLst>
        </xdr:cNvPr>
        <xdr:cNvCxnSpPr/>
      </xdr:nvCxnSpPr>
      <xdr:spPr>
        <a:xfrm flipH="1">
          <a:off x="8610600" y="19050"/>
          <a:ext cx="9525" cy="180117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600075</xdr:colOff>
      <xdr:row>0</xdr:row>
      <xdr:rowOff>0</xdr:rowOff>
    </xdr:from>
    <xdr:to>
      <xdr:col>21</xdr:col>
      <xdr:colOff>0</xdr:colOff>
      <xdr:row>111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39D3BDD-FF80-78B3-FF46-DD957BDE2251}"/>
            </a:ext>
          </a:extLst>
        </xdr:cNvPr>
        <xdr:cNvCxnSpPr/>
      </xdr:nvCxnSpPr>
      <xdr:spPr>
        <a:xfrm>
          <a:off x="13468350" y="0"/>
          <a:ext cx="9525" cy="170497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C95A8-7115-4214-9931-64478AD230A0}">
  <dimension ref="A1:E28"/>
  <sheetViews>
    <sheetView showGridLines="0" workbookViewId="0">
      <selection activeCell="F23" sqref="F23"/>
    </sheetView>
  </sheetViews>
  <sheetFormatPr defaultColWidth="9.109375" defaultRowHeight="13.2" x14ac:dyDescent="0.25"/>
  <cols>
    <col min="1" max="3" width="9.109375" style="1"/>
    <col min="4" max="4" width="10.88671875" style="1" bestFit="1" customWidth="1"/>
    <col min="5" max="16384" width="9.109375" style="1"/>
  </cols>
  <sheetData>
    <row r="1" spans="1:5" x14ac:dyDescent="0.25">
      <c r="A1" s="2" t="s">
        <v>100</v>
      </c>
      <c r="B1" s="1" t="s">
        <v>106</v>
      </c>
      <c r="D1" s="2" t="s">
        <v>107</v>
      </c>
      <c r="E1" s="10">
        <v>1968</v>
      </c>
    </row>
    <row r="2" spans="1:5" x14ac:dyDescent="0.25">
      <c r="A2" s="2" t="s">
        <v>101</v>
      </c>
      <c r="B2" s="1">
        <v>20.54</v>
      </c>
      <c r="D2" s="2" t="s">
        <v>108</v>
      </c>
      <c r="E2" s="10" t="s">
        <v>118</v>
      </c>
    </row>
    <row r="3" spans="1:5" x14ac:dyDescent="0.25">
      <c r="A3" s="2" t="s">
        <v>102</v>
      </c>
      <c r="B3" s="1">
        <v>4276</v>
      </c>
      <c r="D3" s="2" t="s">
        <v>109</v>
      </c>
      <c r="E3" s="10" t="s">
        <v>116</v>
      </c>
    </row>
    <row r="4" spans="1:5" x14ac:dyDescent="0.25">
      <c r="A4" s="2" t="s">
        <v>103</v>
      </c>
      <c r="B4" s="3">
        <f>+B2*B3</f>
        <v>87829.04</v>
      </c>
      <c r="D4" s="2" t="s">
        <v>110</v>
      </c>
      <c r="E4" s="10" t="s">
        <v>117</v>
      </c>
    </row>
    <row r="5" spans="1:5" x14ac:dyDescent="0.25">
      <c r="A5" s="2" t="s">
        <v>35</v>
      </c>
      <c r="B5" s="3">
        <f>+model!L49+model!L50+model!L55</f>
        <v>35097</v>
      </c>
      <c r="C5" s="1" t="s">
        <v>23</v>
      </c>
      <c r="D5" s="2" t="s">
        <v>111</v>
      </c>
      <c r="E5" s="10">
        <v>1971</v>
      </c>
    </row>
    <row r="6" spans="1:5" x14ac:dyDescent="0.25">
      <c r="A6" s="2" t="s">
        <v>104</v>
      </c>
      <c r="B6" s="3">
        <f>+model!L61+model!L66</f>
        <v>53029</v>
      </c>
      <c r="C6" s="1" t="s">
        <v>23</v>
      </c>
      <c r="D6" s="2" t="s">
        <v>112</v>
      </c>
      <c r="E6" s="10" t="s">
        <v>114</v>
      </c>
    </row>
    <row r="7" spans="1:5" x14ac:dyDescent="0.25">
      <c r="A7" s="2" t="s">
        <v>105</v>
      </c>
      <c r="B7" s="3">
        <f>+B4-B5+B6</f>
        <v>105761.04</v>
      </c>
      <c r="D7" s="2" t="s">
        <v>113</v>
      </c>
      <c r="E7" s="10" t="s">
        <v>115</v>
      </c>
    </row>
    <row r="10" spans="1:5" x14ac:dyDescent="0.25">
      <c r="A10" s="2" t="s">
        <v>123</v>
      </c>
    </row>
    <row r="11" spans="1:5" x14ac:dyDescent="0.25">
      <c r="A11" s="1" t="s">
        <v>119</v>
      </c>
    </row>
    <row r="12" spans="1:5" x14ac:dyDescent="0.25">
      <c r="A12" s="1" t="s">
        <v>120</v>
      </c>
    </row>
    <row r="13" spans="1:5" x14ac:dyDescent="0.25">
      <c r="A13" s="1" t="s">
        <v>121</v>
      </c>
    </row>
    <row r="14" spans="1:5" x14ac:dyDescent="0.25">
      <c r="A14" s="1" t="s">
        <v>122</v>
      </c>
    </row>
    <row r="16" spans="1:5" x14ac:dyDescent="0.25">
      <c r="A16" s="2" t="s">
        <v>124</v>
      </c>
    </row>
    <row r="17" spans="1:1" x14ac:dyDescent="0.25">
      <c r="A17" s="1" t="s">
        <v>125</v>
      </c>
    </row>
    <row r="19" spans="1:1" x14ac:dyDescent="0.25">
      <c r="A19" s="2" t="s">
        <v>126</v>
      </c>
    </row>
    <row r="20" spans="1:1" x14ac:dyDescent="0.25">
      <c r="A20" s="1" t="s">
        <v>127</v>
      </c>
    </row>
    <row r="21" spans="1:1" x14ac:dyDescent="0.25">
      <c r="A21" s="1" t="s">
        <v>128</v>
      </c>
    </row>
    <row r="22" spans="1:1" x14ac:dyDescent="0.25">
      <c r="A22" s="1" t="s">
        <v>129</v>
      </c>
    </row>
    <row r="23" spans="1:1" x14ac:dyDescent="0.25">
      <c r="A23" s="1" t="s">
        <v>130</v>
      </c>
    </row>
    <row r="24" spans="1:1" x14ac:dyDescent="0.25">
      <c r="A24" s="1" t="s">
        <v>131</v>
      </c>
    </row>
    <row r="26" spans="1:1" x14ac:dyDescent="0.25">
      <c r="A26" s="2" t="s">
        <v>141</v>
      </c>
    </row>
    <row r="27" spans="1:1" x14ac:dyDescent="0.25">
      <c r="A27" s="1" t="s">
        <v>139</v>
      </c>
    </row>
    <row r="28" spans="1:1" x14ac:dyDescent="0.25">
      <c r="A28" s="1" t="s">
        <v>140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2966-B3E8-4400-96CD-F0FF35FAFEEC}">
  <dimension ref="A1:BV111"/>
  <sheetViews>
    <sheetView tabSelected="1" topLeftCell="B1" workbookViewId="0">
      <pane xSplit="1" ySplit="1" topLeftCell="G30" activePane="bottomRight" state="frozen"/>
      <selection activeCell="B1" sqref="B1"/>
      <selection pane="topRight" activeCell="C1" sqref="C1"/>
      <selection pane="bottomLeft" activeCell="B2" sqref="B2"/>
      <selection pane="bottomRight" activeCell="I46" sqref="I46"/>
    </sheetView>
  </sheetViews>
  <sheetFormatPr defaultColWidth="9.109375" defaultRowHeight="13.2" x14ac:dyDescent="0.25"/>
  <cols>
    <col min="1" max="1" width="5.5546875" style="1" bestFit="1" customWidth="1"/>
    <col min="2" max="2" width="32" style="1" bestFit="1" customWidth="1"/>
    <col min="3" max="20" width="9.109375" style="1"/>
    <col min="21" max="21" width="9.109375" style="1" customWidth="1"/>
    <col min="22" max="16384" width="9.109375" style="1"/>
  </cols>
  <sheetData>
    <row r="1" spans="1:31" x14ac:dyDescent="0.25">
      <c r="A1" s="8" t="s">
        <v>0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Q1" s="2">
        <v>2019</v>
      </c>
      <c r="R1" s="2">
        <v>2020</v>
      </c>
      <c r="S1" s="2">
        <f>+R1+1</f>
        <v>2021</v>
      </c>
      <c r="T1" s="2">
        <f t="shared" ref="T1:AB1" si="0">+S1+1</f>
        <v>2022</v>
      </c>
      <c r="U1" s="2">
        <f t="shared" si="0"/>
        <v>2023</v>
      </c>
      <c r="V1" s="2">
        <f t="shared" si="0"/>
        <v>2024</v>
      </c>
      <c r="W1" s="2">
        <f t="shared" si="0"/>
        <v>2025</v>
      </c>
      <c r="X1" s="2">
        <f t="shared" si="0"/>
        <v>2026</v>
      </c>
      <c r="Y1" s="2">
        <f t="shared" si="0"/>
        <v>2027</v>
      </c>
      <c r="Z1" s="2">
        <f t="shared" si="0"/>
        <v>2028</v>
      </c>
      <c r="AA1" s="2">
        <f t="shared" si="0"/>
        <v>2029</v>
      </c>
      <c r="AB1" s="2">
        <f t="shared" si="0"/>
        <v>2030</v>
      </c>
    </row>
    <row r="2" spans="1:31" s="3" customFormat="1" x14ac:dyDescent="0.25">
      <c r="A2" s="8"/>
      <c r="B2" s="1" t="s">
        <v>82</v>
      </c>
      <c r="C2" s="3">
        <v>5959</v>
      </c>
      <c r="D2" s="3">
        <v>2289</v>
      </c>
      <c r="E2" s="3">
        <v>3222</v>
      </c>
      <c r="F2" s="3">
        <v>2509</v>
      </c>
      <c r="G2" s="3">
        <v>1879</v>
      </c>
      <c r="H2" s="3">
        <v>2370</v>
      </c>
      <c r="I2" s="3">
        <v>2753</v>
      </c>
      <c r="J2" s="3">
        <v>3164</v>
      </c>
      <c r="K2" s="3">
        <v>2461</v>
      </c>
      <c r="L2" s="3">
        <v>2527</v>
      </c>
      <c r="M2" s="3">
        <v>2070</v>
      </c>
      <c r="Q2" s="3">
        <v>11822</v>
      </c>
      <c r="R2" s="3">
        <v>10692</v>
      </c>
      <c r="S2" s="3">
        <v>12437</v>
      </c>
      <c r="T2" s="3">
        <v>10661</v>
      </c>
      <c r="U2" s="3">
        <v>10166</v>
      </c>
      <c r="V2" s="3">
        <f>+U2*1.08</f>
        <v>10979.28</v>
      </c>
      <c r="W2" s="3">
        <f>+V2*1.07</f>
        <v>11747.829600000001</v>
      </c>
      <c r="X2" s="3">
        <f t="shared" ref="X2:AB2" si="1">+W2*1.07</f>
        <v>12570.177672000002</v>
      </c>
      <c r="Y2" s="3">
        <f t="shared" si="1"/>
        <v>13450.090109040002</v>
      </c>
      <c r="Z2" s="3">
        <f t="shared" si="1"/>
        <v>14391.596416672803</v>
      </c>
      <c r="AA2" s="3">
        <f t="shared" si="1"/>
        <v>15399.008165839899</v>
      </c>
      <c r="AB2" s="3">
        <f t="shared" si="1"/>
        <v>16476.938737448694</v>
      </c>
      <c r="AD2" s="3" t="s">
        <v>144</v>
      </c>
      <c r="AE2" s="7">
        <v>0.08</v>
      </c>
    </row>
    <row r="3" spans="1:31" s="3" customFormat="1" x14ac:dyDescent="0.25">
      <c r="A3" s="8"/>
      <c r="B3" s="1" t="s">
        <v>83</v>
      </c>
      <c r="C3" s="3">
        <v>2641</v>
      </c>
      <c r="D3" s="3">
        <v>4751</v>
      </c>
      <c r="E3" s="3">
        <v>4408</v>
      </c>
      <c r="F3" s="3">
        <v>3663</v>
      </c>
      <c r="G3" s="3">
        <v>3407</v>
      </c>
      <c r="H3" s="3">
        <v>3896</v>
      </c>
      <c r="I3" s="3">
        <v>4503</v>
      </c>
      <c r="J3" s="3">
        <v>5185</v>
      </c>
      <c r="K3" s="3">
        <v>4681</v>
      </c>
      <c r="L3" s="3">
        <v>4480</v>
      </c>
      <c r="M3" s="3">
        <v>4888</v>
      </c>
      <c r="Q3" s="3">
        <v>20779</v>
      </c>
      <c r="R3" s="3">
        <v>24903</v>
      </c>
      <c r="S3" s="3">
        <v>25443</v>
      </c>
      <c r="T3" s="3">
        <v>18781</v>
      </c>
      <c r="U3" s="3">
        <v>16990</v>
      </c>
      <c r="V3" s="3">
        <f t="shared" ref="V3:AB4" si="2">+U3*1.06</f>
        <v>18009.400000000001</v>
      </c>
      <c r="W3" s="3">
        <f t="shared" si="2"/>
        <v>19089.964000000004</v>
      </c>
      <c r="X3" s="3">
        <f t="shared" si="2"/>
        <v>20235.361840000005</v>
      </c>
      <c r="Y3" s="3">
        <f t="shared" si="2"/>
        <v>21449.483550400008</v>
      </c>
      <c r="Z3" s="3">
        <f t="shared" si="2"/>
        <v>22736.452563424009</v>
      </c>
      <c r="AA3" s="3">
        <f t="shared" si="2"/>
        <v>24100.639717229449</v>
      </c>
      <c r="AB3" s="3">
        <f t="shared" si="2"/>
        <v>25546.678100263216</v>
      </c>
      <c r="AD3" s="3" t="s">
        <v>143</v>
      </c>
      <c r="AE3" s="7">
        <v>0.01</v>
      </c>
    </row>
    <row r="4" spans="1:31" s="3" customFormat="1" x14ac:dyDescent="0.25">
      <c r="A4" s="8"/>
      <c r="B4" s="1" t="s">
        <v>84</v>
      </c>
      <c r="C4" s="3">
        <v>694</v>
      </c>
      <c r="D4" s="3">
        <v>638</v>
      </c>
      <c r="E4" s="3">
        <v>498</v>
      </c>
      <c r="F4" s="3">
        <v>473</v>
      </c>
      <c r="G4" s="3">
        <v>481</v>
      </c>
      <c r="H4" s="3">
        <v>514</v>
      </c>
      <c r="I4" s="3">
        <v>611</v>
      </c>
      <c r="J4" s="3">
        <v>495</v>
      </c>
      <c r="K4" s="3">
        <v>391</v>
      </c>
      <c r="L4" s="3">
        <v>403</v>
      </c>
      <c r="M4" s="3">
        <v>372</v>
      </c>
      <c r="Q4" s="3">
        <v>80</v>
      </c>
      <c r="R4" s="3">
        <v>47</v>
      </c>
      <c r="S4" s="3">
        <v>3187</v>
      </c>
      <c r="T4" s="3">
        <v>2331</v>
      </c>
      <c r="U4" s="3">
        <v>2102</v>
      </c>
      <c r="V4" s="3">
        <f t="shared" si="2"/>
        <v>2228.12</v>
      </c>
      <c r="W4" s="3">
        <f t="shared" si="2"/>
        <v>2361.8072000000002</v>
      </c>
      <c r="X4" s="3">
        <f t="shared" si="2"/>
        <v>2503.5156320000006</v>
      </c>
      <c r="Y4" s="3">
        <f t="shared" si="2"/>
        <v>2653.7265699200007</v>
      </c>
      <c r="Z4" s="3">
        <f t="shared" si="2"/>
        <v>2812.950164115201</v>
      </c>
      <c r="AA4" s="3">
        <f t="shared" si="2"/>
        <v>2981.7271739621133</v>
      </c>
      <c r="AB4" s="3">
        <f t="shared" si="2"/>
        <v>3160.6308043998401</v>
      </c>
      <c r="AD4" s="3" t="s">
        <v>142</v>
      </c>
      <c r="AE4" s="7">
        <v>0.04</v>
      </c>
    </row>
    <row r="5" spans="1:31" s="3" customFormat="1" x14ac:dyDescent="0.25">
      <c r="A5" s="8"/>
      <c r="B5" s="1" t="s">
        <v>85</v>
      </c>
      <c r="C5" s="3">
        <f t="shared" ref="C5:K5" si="3">+C2+C3+C4</f>
        <v>9294</v>
      </c>
      <c r="D5" s="3">
        <f t="shared" si="3"/>
        <v>7678</v>
      </c>
      <c r="E5" s="3">
        <f t="shared" si="3"/>
        <v>8128</v>
      </c>
      <c r="F5" s="3">
        <f t="shared" si="3"/>
        <v>6645</v>
      </c>
      <c r="G5" s="3">
        <f t="shared" si="3"/>
        <v>5767</v>
      </c>
      <c r="H5" s="3">
        <f t="shared" si="3"/>
        <v>6780</v>
      </c>
      <c r="I5" s="3">
        <f t="shared" si="3"/>
        <v>7867</v>
      </c>
      <c r="J5" s="3">
        <f t="shared" si="3"/>
        <v>8844</v>
      </c>
      <c r="K5" s="3">
        <f t="shared" si="3"/>
        <v>7533</v>
      </c>
      <c r="L5" s="3">
        <f>+L2+L3+L4</f>
        <v>7410</v>
      </c>
      <c r="M5" s="3">
        <f t="shared" ref="M5" si="4">+M2+M3+M4</f>
        <v>7330</v>
      </c>
      <c r="Q5" s="3">
        <f t="shared" ref="Q5" si="5">+Q2+Q3+Q4</f>
        <v>32681</v>
      </c>
      <c r="R5" s="3">
        <f t="shared" ref="R5:AB5" si="6">+R2+R3+R4</f>
        <v>35642</v>
      </c>
      <c r="S5" s="3">
        <f t="shared" si="6"/>
        <v>41067</v>
      </c>
      <c r="T5" s="3">
        <f t="shared" si="6"/>
        <v>31773</v>
      </c>
      <c r="U5" s="3">
        <f t="shared" si="6"/>
        <v>29258</v>
      </c>
      <c r="V5" s="3">
        <f t="shared" si="6"/>
        <v>31216.799999999999</v>
      </c>
      <c r="W5" s="3">
        <f t="shared" si="6"/>
        <v>33199.600800000007</v>
      </c>
      <c r="X5" s="3">
        <f t="shared" si="6"/>
        <v>35309.055144000005</v>
      </c>
      <c r="Y5" s="3">
        <f t="shared" si="6"/>
        <v>37553.300229360008</v>
      </c>
      <c r="Z5" s="3">
        <f t="shared" si="6"/>
        <v>39940.999144212015</v>
      </c>
      <c r="AA5" s="3">
        <f t="shared" si="6"/>
        <v>42481.375057031466</v>
      </c>
      <c r="AB5" s="3">
        <f t="shared" si="6"/>
        <v>45184.247642111754</v>
      </c>
      <c r="AD5" s="3" t="s">
        <v>145</v>
      </c>
      <c r="AE5" s="3">
        <f>+NPV(AE2,V26:BV26)</f>
        <v>125465.90017986683</v>
      </c>
    </row>
    <row r="6" spans="1:31" s="3" customFormat="1" x14ac:dyDescent="0.25">
      <c r="A6" s="8"/>
      <c r="B6" s="1" t="s">
        <v>86</v>
      </c>
      <c r="C6" s="3">
        <v>6034</v>
      </c>
      <c r="D6" s="3">
        <v>4695</v>
      </c>
      <c r="E6" s="3">
        <v>4255</v>
      </c>
      <c r="F6" s="3">
        <v>4421</v>
      </c>
      <c r="G6" s="3">
        <v>2901</v>
      </c>
      <c r="H6" s="3">
        <v>3155</v>
      </c>
      <c r="I6" s="3">
        <v>3814</v>
      </c>
      <c r="J6" s="3">
        <v>3985</v>
      </c>
      <c r="K6" s="3">
        <v>3036</v>
      </c>
      <c r="L6" s="3">
        <v>3045</v>
      </c>
      <c r="M6" s="3">
        <v>3349</v>
      </c>
      <c r="S6" s="3">
        <v>22691</v>
      </c>
      <c r="T6" s="3">
        <v>19445</v>
      </c>
      <c r="U6" s="3">
        <v>15521</v>
      </c>
      <c r="V6" s="3">
        <f>+U6*0.9</f>
        <v>13968.9</v>
      </c>
      <c r="W6" s="3">
        <f t="shared" ref="W6:AB6" si="7">+V6*0.9</f>
        <v>12572.01</v>
      </c>
      <c r="X6" s="3">
        <f t="shared" si="7"/>
        <v>11314.809000000001</v>
      </c>
      <c r="Y6" s="3">
        <f t="shared" si="7"/>
        <v>10183.328100000001</v>
      </c>
      <c r="Z6" s="3">
        <f t="shared" si="7"/>
        <v>9164.9952900000008</v>
      </c>
      <c r="AA6" s="3">
        <f t="shared" si="7"/>
        <v>8248.4957610000001</v>
      </c>
      <c r="AB6" s="3">
        <f t="shared" si="7"/>
        <v>7423.6461849000007</v>
      </c>
      <c r="AD6" s="3" t="s">
        <v>146</v>
      </c>
      <c r="AE6" s="3">
        <f>+U48</f>
        <v>-17932</v>
      </c>
    </row>
    <row r="7" spans="1:31" s="3" customFormat="1" x14ac:dyDescent="0.25">
      <c r="A7" s="8"/>
      <c r="B7" s="1" t="s">
        <v>87</v>
      </c>
      <c r="C7" s="3">
        <v>2213</v>
      </c>
      <c r="D7" s="3">
        <v>2211</v>
      </c>
      <c r="E7" s="3">
        <v>2133</v>
      </c>
      <c r="F7" s="3">
        <v>1926</v>
      </c>
      <c r="G7" s="3">
        <v>1489</v>
      </c>
      <c r="H7" s="3">
        <v>1364</v>
      </c>
      <c r="I7" s="3">
        <v>1450</v>
      </c>
      <c r="J7" s="3">
        <v>1471</v>
      </c>
      <c r="K7" s="3">
        <v>1364</v>
      </c>
      <c r="L7" s="3">
        <v>1344</v>
      </c>
      <c r="M7" s="3">
        <v>1511</v>
      </c>
      <c r="S7" s="3">
        <v>7976</v>
      </c>
      <c r="T7" s="3">
        <v>8409</v>
      </c>
      <c r="U7" s="3">
        <v>5774</v>
      </c>
      <c r="AD7" s="3" t="s">
        <v>147</v>
      </c>
      <c r="AE7" s="3">
        <f>+AE5+AE6</f>
        <v>107533.90017986683</v>
      </c>
    </row>
    <row r="8" spans="1:31" s="3" customFormat="1" x14ac:dyDescent="0.25">
      <c r="A8" s="8"/>
      <c r="B8" s="1" t="s">
        <v>88</v>
      </c>
      <c r="C8" s="3">
        <v>283</v>
      </c>
      <c r="D8" s="3">
        <v>460</v>
      </c>
      <c r="E8" s="3">
        <v>450</v>
      </c>
      <c r="F8" s="3">
        <v>565</v>
      </c>
      <c r="G8" s="3">
        <v>4831</v>
      </c>
      <c r="H8" s="3">
        <v>4172</v>
      </c>
      <c r="I8" s="3">
        <v>530</v>
      </c>
      <c r="J8" s="3">
        <v>637</v>
      </c>
      <c r="K8" s="3">
        <v>4369</v>
      </c>
      <c r="L8" s="3">
        <v>4320</v>
      </c>
      <c r="M8" s="3">
        <v>4352</v>
      </c>
      <c r="S8" s="3">
        <v>786</v>
      </c>
      <c r="T8" s="3">
        <v>1869</v>
      </c>
      <c r="U8" s="3">
        <v>2079</v>
      </c>
      <c r="AD8" s="3" t="s">
        <v>148</v>
      </c>
      <c r="AE8" s="5">
        <f>+AE7/main!B3</f>
        <v>25.148246066386069</v>
      </c>
    </row>
    <row r="9" spans="1:31" s="3" customFormat="1" x14ac:dyDescent="0.25">
      <c r="A9" s="8"/>
      <c r="B9" s="1" t="s">
        <v>90</v>
      </c>
      <c r="C9" s="3">
        <v>67</v>
      </c>
      <c r="D9" s="3">
        <v>57</v>
      </c>
      <c r="E9" s="3">
        <v>78</v>
      </c>
      <c r="F9" s="3">
        <v>178</v>
      </c>
      <c r="G9" s="3">
        <v>1440</v>
      </c>
      <c r="H9" s="3">
        <v>1419</v>
      </c>
      <c r="I9" s="3">
        <v>311</v>
      </c>
      <c r="J9" s="3">
        <v>291</v>
      </c>
      <c r="K9" s="3">
        <v>775</v>
      </c>
      <c r="L9" s="3">
        <v>968</v>
      </c>
      <c r="M9" s="3">
        <v>1039</v>
      </c>
      <c r="S9" s="3">
        <f>5019+774+1386</f>
        <v>7179</v>
      </c>
      <c r="T9" s="3">
        <v>469</v>
      </c>
      <c r="U9" s="3">
        <v>952</v>
      </c>
      <c r="AE9" s="5"/>
    </row>
    <row r="10" spans="1:31" s="3" customFormat="1" x14ac:dyDescent="0.25">
      <c r="A10" s="8"/>
      <c r="B10" s="1" t="s">
        <v>89</v>
      </c>
      <c r="D10" s="3">
        <v>220</v>
      </c>
      <c r="E10" s="3">
        <v>294</v>
      </c>
      <c r="F10" s="3">
        <v>307</v>
      </c>
      <c r="G10" s="3">
        <v>-4713</v>
      </c>
      <c r="H10" s="3">
        <v>-3941</v>
      </c>
      <c r="I10" s="3">
        <v>186</v>
      </c>
      <c r="J10" s="3">
        <v>178</v>
      </c>
      <c r="K10" s="3">
        <v>-4353</v>
      </c>
      <c r="L10" s="3">
        <v>-4254</v>
      </c>
      <c r="M10" s="3">
        <v>-4297</v>
      </c>
      <c r="T10" s="3">
        <v>1089</v>
      </c>
      <c r="U10" s="3">
        <v>644</v>
      </c>
    </row>
    <row r="11" spans="1:31" x14ac:dyDescent="0.25">
      <c r="A11" s="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R11" s="2"/>
      <c r="S11" s="2"/>
      <c r="T11" s="2"/>
      <c r="U11" s="2"/>
      <c r="V11" s="2"/>
      <c r="W11" s="2"/>
      <c r="X11" s="2"/>
    </row>
    <row r="12" spans="1:31" s="2" customFormat="1" x14ac:dyDescent="0.25">
      <c r="A12" s="1"/>
      <c r="B12" s="2" t="s">
        <v>1</v>
      </c>
      <c r="C12" s="4">
        <f t="shared" ref="C12:G12" si="8">+C5+C6+C7+C8+C10+C9</f>
        <v>17891</v>
      </c>
      <c r="D12" s="4">
        <f t="shared" si="8"/>
        <v>15321</v>
      </c>
      <c r="E12" s="4">
        <f t="shared" si="8"/>
        <v>15338</v>
      </c>
      <c r="F12" s="4">
        <f t="shared" si="8"/>
        <v>14042</v>
      </c>
      <c r="G12" s="4">
        <f t="shared" si="8"/>
        <v>11715</v>
      </c>
      <c r="H12" s="4">
        <f>+H5+H6+H7+H8+H10+H9</f>
        <v>12949</v>
      </c>
      <c r="I12" s="4">
        <f>+I5+I6+I7+I8+I10+I9</f>
        <v>14158</v>
      </c>
      <c r="J12" s="4">
        <f>+J5+J6+J7+J8+J10+J9</f>
        <v>15406</v>
      </c>
      <c r="K12" s="4">
        <f t="shared" ref="K12" si="9">+K5+K6+K7+K8+K10+K9</f>
        <v>12724</v>
      </c>
      <c r="L12" s="4">
        <f>+L5+L6+L7+L8+L10+L9</f>
        <v>12833</v>
      </c>
      <c r="M12" s="4">
        <f t="shared" ref="M12:N12" si="10">+M5+M6+M7+M8+M10+M9</f>
        <v>13284</v>
      </c>
      <c r="N12" s="4">
        <f t="shared" si="10"/>
        <v>0</v>
      </c>
      <c r="Q12" s="4">
        <f t="shared" ref="Q12" si="11">+Q5+Q6+Q7+Q8+Q10+Q9</f>
        <v>32681</v>
      </c>
      <c r="R12" s="4">
        <f t="shared" ref="R12:X12" si="12">+R5+R6+R7+R8+R10+R9</f>
        <v>35642</v>
      </c>
      <c r="S12" s="4">
        <f t="shared" si="12"/>
        <v>79699</v>
      </c>
      <c r="T12" s="4">
        <f t="shared" si="12"/>
        <v>63054</v>
      </c>
      <c r="U12" s="4">
        <f t="shared" si="12"/>
        <v>54228</v>
      </c>
      <c r="V12" s="4">
        <f t="shared" si="12"/>
        <v>45185.7</v>
      </c>
      <c r="W12" s="4">
        <f t="shared" si="12"/>
        <v>45771.610800000009</v>
      </c>
      <c r="X12" s="4">
        <f t="shared" si="12"/>
        <v>46623.864144000006</v>
      </c>
      <c r="Y12" s="4">
        <f t="shared" ref="Y12:AB12" si="13">+Y5+Y6+Y7+Y8+Y10+Y9</f>
        <v>47736.628329360006</v>
      </c>
      <c r="Z12" s="4">
        <f t="shared" si="13"/>
        <v>49105.994434212014</v>
      </c>
      <c r="AA12" s="4">
        <f t="shared" si="13"/>
        <v>50729.870818031464</v>
      </c>
      <c r="AB12" s="4">
        <f t="shared" si="13"/>
        <v>52607.893827011751</v>
      </c>
    </row>
    <row r="13" spans="1:31" x14ac:dyDescent="0.25">
      <c r="B13" s="1" t="s">
        <v>2</v>
      </c>
      <c r="C13" s="3">
        <v>9109</v>
      </c>
      <c r="D13" s="3">
        <v>9734</v>
      </c>
      <c r="E13" s="3">
        <v>8803</v>
      </c>
      <c r="F13" s="3">
        <v>8542</v>
      </c>
      <c r="G13" s="3">
        <v>7707</v>
      </c>
      <c r="H13" s="3">
        <v>8311</v>
      </c>
      <c r="I13" s="3">
        <v>8140</v>
      </c>
      <c r="J13" s="3">
        <v>8359</v>
      </c>
      <c r="K13" s="3">
        <v>7507</v>
      </c>
      <c r="L13" s="3">
        <v>8286</v>
      </c>
      <c r="M13" s="3">
        <v>11287</v>
      </c>
      <c r="N13" s="3"/>
      <c r="Q13" s="3">
        <v>29825</v>
      </c>
      <c r="R13" s="3">
        <v>34255</v>
      </c>
      <c r="S13" s="3">
        <v>35209</v>
      </c>
      <c r="T13" s="3">
        <v>36188</v>
      </c>
      <c r="U13" s="3">
        <v>32517</v>
      </c>
      <c r="V13" s="3"/>
      <c r="W13" s="3"/>
      <c r="X13" s="3"/>
      <c r="Y13" s="3"/>
      <c r="Z13" s="3"/>
      <c r="AA13" s="3"/>
      <c r="AB13" s="3"/>
    </row>
    <row r="14" spans="1:31" x14ac:dyDescent="0.25">
      <c r="B14" s="1" t="s">
        <v>3</v>
      </c>
      <c r="C14" s="3">
        <f t="shared" ref="C14:K14" si="14">+C12-C13</f>
        <v>8782</v>
      </c>
      <c r="D14" s="3">
        <f t="shared" si="14"/>
        <v>5587</v>
      </c>
      <c r="E14" s="3">
        <f t="shared" si="14"/>
        <v>6535</v>
      </c>
      <c r="F14" s="3">
        <f t="shared" si="14"/>
        <v>5500</v>
      </c>
      <c r="G14" s="3">
        <f t="shared" si="14"/>
        <v>4008</v>
      </c>
      <c r="H14" s="3">
        <f t="shared" si="14"/>
        <v>4638</v>
      </c>
      <c r="I14" s="3">
        <f t="shared" si="14"/>
        <v>6018</v>
      </c>
      <c r="J14" s="3">
        <f t="shared" si="14"/>
        <v>7047</v>
      </c>
      <c r="K14" s="3">
        <f t="shared" si="14"/>
        <v>5217</v>
      </c>
      <c r="L14" s="3">
        <f>+L12-L13</f>
        <v>4547</v>
      </c>
      <c r="M14" s="3">
        <f t="shared" ref="M14:N14" si="15">+M12-M13</f>
        <v>1997</v>
      </c>
      <c r="N14" s="3">
        <f t="shared" si="15"/>
        <v>0</v>
      </c>
      <c r="Q14" s="3">
        <f t="shared" ref="Q14" si="16">+Q12-Q13</f>
        <v>2856</v>
      </c>
      <c r="R14" s="3">
        <f t="shared" ref="R14:X14" si="17">+R12-R13</f>
        <v>1387</v>
      </c>
      <c r="S14" s="3">
        <f t="shared" si="17"/>
        <v>44490</v>
      </c>
      <c r="T14" s="3">
        <f t="shared" si="17"/>
        <v>26866</v>
      </c>
      <c r="U14" s="3">
        <f t="shared" si="17"/>
        <v>21711</v>
      </c>
      <c r="V14" s="3">
        <f t="shared" si="17"/>
        <v>45185.7</v>
      </c>
      <c r="W14" s="3">
        <f t="shared" si="17"/>
        <v>45771.610800000009</v>
      </c>
      <c r="X14" s="3">
        <f t="shared" si="17"/>
        <v>46623.864144000006</v>
      </c>
      <c r="Y14" s="3">
        <f t="shared" ref="Y14:AB14" si="18">+Y12-Y13</f>
        <v>47736.628329360006</v>
      </c>
      <c r="Z14" s="3">
        <f t="shared" si="18"/>
        <v>49105.994434212014</v>
      </c>
      <c r="AA14" s="3">
        <f t="shared" si="18"/>
        <v>50729.870818031464</v>
      </c>
      <c r="AB14" s="3">
        <f t="shared" si="18"/>
        <v>52607.893827011751</v>
      </c>
    </row>
    <row r="15" spans="1:31" x14ac:dyDescent="0.25">
      <c r="B15" s="1" t="s">
        <v>4</v>
      </c>
      <c r="C15" s="3">
        <v>4362</v>
      </c>
      <c r="D15" s="3">
        <v>4400</v>
      </c>
      <c r="E15" s="3">
        <v>4302</v>
      </c>
      <c r="F15" s="3">
        <v>4464</v>
      </c>
      <c r="G15" s="3">
        <v>4109</v>
      </c>
      <c r="H15" s="3">
        <v>4080</v>
      </c>
      <c r="I15" s="3">
        <v>3870</v>
      </c>
      <c r="J15" s="3">
        <v>3987</v>
      </c>
      <c r="K15" s="3">
        <v>4382</v>
      </c>
      <c r="L15" s="3">
        <v>4239</v>
      </c>
      <c r="M15" s="3">
        <v>4049</v>
      </c>
      <c r="N15" s="3"/>
      <c r="Q15" s="3">
        <v>13362</v>
      </c>
      <c r="R15" s="3">
        <v>13556</v>
      </c>
      <c r="S15" s="3">
        <v>15190</v>
      </c>
      <c r="T15" s="3">
        <v>17528</v>
      </c>
      <c r="U15" s="3">
        <v>16046</v>
      </c>
      <c r="V15" s="3"/>
      <c r="W15" s="3"/>
      <c r="X15" s="3"/>
      <c r="Y15" s="3"/>
      <c r="Z15" s="3"/>
      <c r="AA15" s="3"/>
      <c r="AB15" s="3"/>
    </row>
    <row r="16" spans="1:31" x14ac:dyDescent="0.25">
      <c r="B16" s="1" t="s">
        <v>5</v>
      </c>
      <c r="C16" s="3">
        <v>1752</v>
      </c>
      <c r="D16" s="3">
        <v>1800</v>
      </c>
      <c r="E16" s="3">
        <v>1744</v>
      </c>
      <c r="F16" s="3">
        <v>1706</v>
      </c>
      <c r="G16" s="3">
        <v>1303</v>
      </c>
      <c r="H16" s="3">
        <v>1374</v>
      </c>
      <c r="I16" s="3">
        <v>1340</v>
      </c>
      <c r="J16" s="3">
        <v>1617</v>
      </c>
      <c r="K16" s="3">
        <v>1556</v>
      </c>
      <c r="L16" s="3">
        <v>1329</v>
      </c>
      <c r="M16" s="3">
        <v>1383</v>
      </c>
      <c r="N16" s="3"/>
      <c r="Q16" s="3">
        <v>6350</v>
      </c>
      <c r="R16" s="3">
        <v>6180</v>
      </c>
      <c r="S16" s="3">
        <v>6543</v>
      </c>
      <c r="T16" s="3">
        <v>7002</v>
      </c>
      <c r="U16" s="3">
        <v>5634</v>
      </c>
      <c r="V16" s="3"/>
      <c r="W16" s="3"/>
      <c r="X16" s="3"/>
      <c r="Y16" s="3"/>
      <c r="Z16" s="3"/>
      <c r="AA16" s="3"/>
      <c r="AB16" s="3"/>
    </row>
    <row r="17" spans="1:74" x14ac:dyDescent="0.25">
      <c r="B17" s="1" t="s">
        <v>6</v>
      </c>
      <c r="C17" s="3">
        <v>-1211</v>
      </c>
      <c r="D17" s="3">
        <v>87</v>
      </c>
      <c r="E17" s="3">
        <v>664</v>
      </c>
      <c r="F17" s="3">
        <v>462</v>
      </c>
      <c r="G17" s="3">
        <v>64</v>
      </c>
      <c r="H17" s="3">
        <v>200</v>
      </c>
      <c r="I17" s="3">
        <v>816</v>
      </c>
      <c r="J17" s="3">
        <v>-1142</v>
      </c>
      <c r="K17" s="3">
        <v>348</v>
      </c>
      <c r="L17" s="3">
        <v>943</v>
      </c>
      <c r="M17" s="3">
        <v>5622</v>
      </c>
      <c r="N17" s="3"/>
      <c r="Q17" s="3">
        <v>393</v>
      </c>
      <c r="R17" s="3">
        <v>198</v>
      </c>
      <c r="S17" s="3">
        <v>2626</v>
      </c>
      <c r="T17" s="3">
        <v>2</v>
      </c>
      <c r="U17" s="3">
        <v>-62</v>
      </c>
      <c r="V17" s="3"/>
      <c r="W17" s="3"/>
      <c r="X17" s="3"/>
      <c r="Y17" s="3"/>
      <c r="Z17" s="3"/>
      <c r="AA17" s="3"/>
      <c r="AB17" s="3"/>
    </row>
    <row r="18" spans="1:74" x14ac:dyDescent="0.25">
      <c r="B18" s="1" t="s">
        <v>7</v>
      </c>
      <c r="C18" s="3">
        <f t="shared" ref="C18:K18" si="19">+C15+C16+C17</f>
        <v>4903</v>
      </c>
      <c r="D18" s="3">
        <f t="shared" si="19"/>
        <v>6287</v>
      </c>
      <c r="E18" s="3">
        <f t="shared" si="19"/>
        <v>6710</v>
      </c>
      <c r="F18" s="3">
        <f t="shared" si="19"/>
        <v>6632</v>
      </c>
      <c r="G18" s="3">
        <f t="shared" si="19"/>
        <v>5476</v>
      </c>
      <c r="H18" s="3">
        <f t="shared" si="19"/>
        <v>5654</v>
      </c>
      <c r="I18" s="3">
        <f t="shared" si="19"/>
        <v>6026</v>
      </c>
      <c r="J18" s="3">
        <f t="shared" si="19"/>
        <v>4462</v>
      </c>
      <c r="K18" s="3">
        <f t="shared" si="19"/>
        <v>6286</v>
      </c>
      <c r="L18" s="3">
        <f>+L15+L16+L17</f>
        <v>6511</v>
      </c>
      <c r="M18" s="3">
        <f t="shared" ref="M18:N18" si="20">+M15+M16+M17</f>
        <v>11054</v>
      </c>
      <c r="N18" s="3">
        <f t="shared" si="20"/>
        <v>0</v>
      </c>
      <c r="Q18" s="3">
        <f t="shared" ref="Q18" si="21">+Q15+Q16+Q17</f>
        <v>20105</v>
      </c>
      <c r="R18" s="3">
        <f t="shared" ref="R18:X18" si="22">+R15+R16+R17</f>
        <v>19934</v>
      </c>
      <c r="S18" s="3">
        <f t="shared" si="22"/>
        <v>24359</v>
      </c>
      <c r="T18" s="3">
        <f t="shared" si="22"/>
        <v>24532</v>
      </c>
      <c r="U18" s="3">
        <f t="shared" si="22"/>
        <v>21618</v>
      </c>
      <c r="V18" s="3">
        <f t="shared" si="22"/>
        <v>0</v>
      </c>
      <c r="W18" s="3">
        <f t="shared" si="22"/>
        <v>0</v>
      </c>
      <c r="X18" s="3">
        <f t="shared" si="22"/>
        <v>0</v>
      </c>
      <c r="Y18" s="3">
        <f t="shared" ref="Y18:AB18" si="23">+Y15+Y16+Y17</f>
        <v>0</v>
      </c>
      <c r="Z18" s="3">
        <f t="shared" si="23"/>
        <v>0</v>
      </c>
      <c r="AA18" s="3">
        <f t="shared" si="23"/>
        <v>0</v>
      </c>
      <c r="AB18" s="3">
        <f t="shared" si="23"/>
        <v>0</v>
      </c>
    </row>
    <row r="19" spans="1:74" s="2" customFormat="1" x14ac:dyDescent="0.25">
      <c r="A19" s="1"/>
      <c r="B19" s="2" t="s">
        <v>8</v>
      </c>
      <c r="C19" s="4">
        <f t="shared" ref="C19:K19" si="24">+C14-C18</f>
        <v>3879</v>
      </c>
      <c r="D19" s="4">
        <f t="shared" si="24"/>
        <v>-700</v>
      </c>
      <c r="E19" s="4">
        <f t="shared" si="24"/>
        <v>-175</v>
      </c>
      <c r="F19" s="4">
        <f t="shared" si="24"/>
        <v>-1132</v>
      </c>
      <c r="G19" s="4">
        <f t="shared" si="24"/>
        <v>-1468</v>
      </c>
      <c r="H19" s="4">
        <f t="shared" si="24"/>
        <v>-1016</v>
      </c>
      <c r="I19" s="4">
        <f t="shared" si="24"/>
        <v>-8</v>
      </c>
      <c r="J19" s="4">
        <f t="shared" si="24"/>
        <v>2585</v>
      </c>
      <c r="K19" s="4">
        <f t="shared" si="24"/>
        <v>-1069</v>
      </c>
      <c r="L19" s="4">
        <f>+L14-L18</f>
        <v>-1964</v>
      </c>
      <c r="M19" s="4">
        <f t="shared" ref="M19:N19" si="25">+M14-M18</f>
        <v>-9057</v>
      </c>
      <c r="N19" s="4">
        <f t="shared" si="25"/>
        <v>0</v>
      </c>
      <c r="Q19" s="4">
        <f t="shared" ref="Q19" si="26">+Q14-Q18</f>
        <v>-17249</v>
      </c>
      <c r="R19" s="4">
        <f t="shared" ref="R19:U19" si="27">+R14-R18</f>
        <v>-18547</v>
      </c>
      <c r="S19" s="4">
        <f t="shared" si="27"/>
        <v>20131</v>
      </c>
      <c r="T19" s="4">
        <f t="shared" si="27"/>
        <v>2334</v>
      </c>
      <c r="U19" s="4">
        <f t="shared" si="27"/>
        <v>93</v>
      </c>
      <c r="V19" s="4">
        <f>+V37+V39</f>
        <v>10063.484999999999</v>
      </c>
      <c r="W19" s="4">
        <f t="shared" ref="W19:AB19" si="28">+W37+W39</f>
        <v>9758.4907200000034</v>
      </c>
      <c r="X19" s="4">
        <f t="shared" si="28"/>
        <v>9393.0042360000007</v>
      </c>
      <c r="Y19" s="4">
        <f t="shared" si="28"/>
        <v>9897.4914623400018</v>
      </c>
      <c r="Z19" s="4">
        <f t="shared" si="28"/>
        <v>10443.499550553004</v>
      </c>
      <c r="AA19" s="4">
        <f t="shared" si="28"/>
        <v>11032.768552307867</v>
      </c>
      <c r="AB19" s="4">
        <f t="shared" si="28"/>
        <v>11667.244219772938</v>
      </c>
    </row>
    <row r="20" spans="1:74" x14ac:dyDescent="0.25">
      <c r="B20" s="1" t="s">
        <v>9</v>
      </c>
      <c r="C20" s="3">
        <v>4323</v>
      </c>
      <c r="D20" s="3">
        <v>-90</v>
      </c>
      <c r="E20" s="3">
        <v>-151</v>
      </c>
      <c r="F20" s="3">
        <v>186</v>
      </c>
      <c r="G20" s="3">
        <v>169</v>
      </c>
      <c r="H20" s="3">
        <v>-24</v>
      </c>
      <c r="I20" s="3">
        <v>-191</v>
      </c>
      <c r="J20" s="3">
        <v>86</v>
      </c>
      <c r="K20" s="3">
        <v>205</v>
      </c>
      <c r="L20" s="3">
        <v>-120</v>
      </c>
      <c r="M20" s="3">
        <v>-0.159</v>
      </c>
      <c r="N20" s="3"/>
      <c r="Q20" s="3">
        <v>1539</v>
      </c>
      <c r="R20" s="3">
        <v>1904</v>
      </c>
      <c r="S20" s="3">
        <v>2729</v>
      </c>
      <c r="T20" s="3">
        <v>4268</v>
      </c>
      <c r="U20" s="3">
        <v>40</v>
      </c>
      <c r="V20" s="3"/>
      <c r="W20" s="3"/>
      <c r="X20" s="3"/>
      <c r="Y20" s="3"/>
      <c r="Z20" s="3"/>
      <c r="AA20" s="3"/>
      <c r="AB20" s="3"/>
    </row>
    <row r="21" spans="1:74" x14ac:dyDescent="0.25">
      <c r="B21" s="1" t="s">
        <v>10</v>
      </c>
      <c r="C21" s="3">
        <v>997</v>
      </c>
      <c r="D21" s="3">
        <v>-119</v>
      </c>
      <c r="E21" s="3">
        <v>138</v>
      </c>
      <c r="F21" s="3">
        <v>150</v>
      </c>
      <c r="G21" s="3">
        <v>141</v>
      </c>
      <c r="H21" s="3">
        <v>224</v>
      </c>
      <c r="I21" s="3">
        <v>147</v>
      </c>
      <c r="J21" s="3">
        <v>117</v>
      </c>
      <c r="K21" s="3">
        <v>145</v>
      </c>
      <c r="L21" s="3">
        <v>80</v>
      </c>
      <c r="M21" s="3">
        <v>0.13</v>
      </c>
      <c r="N21" s="3"/>
      <c r="Q21" s="3">
        <v>484</v>
      </c>
      <c r="R21" s="3">
        <v>-504</v>
      </c>
      <c r="S21" s="3">
        <v>-482</v>
      </c>
      <c r="T21" s="3">
        <v>1166</v>
      </c>
      <c r="U21" s="3">
        <v>629</v>
      </c>
      <c r="V21" s="3">
        <f>+IF(U48&lt;0,0,U48*$AE$4)</f>
        <v>0</v>
      </c>
      <c r="W21" s="3">
        <f t="shared" ref="W21:AB21" si="29">+IF(V48&lt;0,0,V48*$AE$4)</f>
        <v>0</v>
      </c>
      <c r="X21" s="3">
        <f t="shared" si="29"/>
        <v>0</v>
      </c>
      <c r="Y21" s="3">
        <f t="shared" si="29"/>
        <v>205.9133666096001</v>
      </c>
      <c r="Z21" s="3">
        <f t="shared" si="29"/>
        <v>525.1809592044076</v>
      </c>
      <c r="AA21" s="3">
        <f t="shared" si="29"/>
        <v>871.79126331274176</v>
      </c>
      <c r="AB21" s="3">
        <f t="shared" si="29"/>
        <v>1247.9753534863532</v>
      </c>
    </row>
    <row r="22" spans="1:74" x14ac:dyDescent="0.25">
      <c r="B22" s="1" t="s">
        <v>11</v>
      </c>
      <c r="C22" s="3">
        <f t="shared" ref="C22:K22" si="30">+C19+C20+C21</f>
        <v>9199</v>
      </c>
      <c r="D22" s="3">
        <f t="shared" si="30"/>
        <v>-909</v>
      </c>
      <c r="E22" s="3">
        <f t="shared" si="30"/>
        <v>-188</v>
      </c>
      <c r="F22" s="3">
        <f t="shared" si="30"/>
        <v>-796</v>
      </c>
      <c r="G22" s="3">
        <f t="shared" si="30"/>
        <v>-1158</v>
      </c>
      <c r="H22" s="3">
        <f t="shared" si="30"/>
        <v>-816</v>
      </c>
      <c r="I22" s="3">
        <f t="shared" si="30"/>
        <v>-52</v>
      </c>
      <c r="J22" s="3">
        <f t="shared" si="30"/>
        <v>2788</v>
      </c>
      <c r="K22" s="3">
        <f t="shared" si="30"/>
        <v>-719</v>
      </c>
      <c r="L22" s="3">
        <f>+L19+L20+L21</f>
        <v>-2004</v>
      </c>
      <c r="M22" s="3">
        <f t="shared" ref="M22:N22" si="31">+M19+M20+M21</f>
        <v>-9057.0290000000005</v>
      </c>
      <c r="N22" s="3">
        <f t="shared" si="31"/>
        <v>0</v>
      </c>
      <c r="Q22" s="3">
        <f t="shared" ref="Q22" si="32">+Q19+Q20+Q21</f>
        <v>-15226</v>
      </c>
      <c r="R22" s="3">
        <f t="shared" ref="R22:X22" si="33">+R19+R20+R21</f>
        <v>-17147</v>
      </c>
      <c r="S22" s="3">
        <f t="shared" si="33"/>
        <v>22378</v>
      </c>
      <c r="T22" s="3">
        <f t="shared" si="33"/>
        <v>7768</v>
      </c>
      <c r="U22" s="3">
        <f t="shared" si="33"/>
        <v>762</v>
      </c>
      <c r="V22" s="3">
        <f t="shared" si="33"/>
        <v>10063.484999999999</v>
      </c>
      <c r="W22" s="3">
        <f t="shared" si="33"/>
        <v>9758.4907200000034</v>
      </c>
      <c r="X22" s="3">
        <f t="shared" si="33"/>
        <v>9393.0042360000007</v>
      </c>
      <c r="Y22" s="3">
        <f t="shared" ref="Y22:AB22" si="34">+Y19+Y20+Y21</f>
        <v>10103.404828949602</v>
      </c>
      <c r="Z22" s="3">
        <f t="shared" si="34"/>
        <v>10968.680509757412</v>
      </c>
      <c r="AA22" s="3">
        <f t="shared" si="34"/>
        <v>11904.559815620609</v>
      </c>
      <c r="AB22" s="3">
        <f t="shared" si="34"/>
        <v>12915.219573259292</v>
      </c>
    </row>
    <row r="23" spans="1:74" x14ac:dyDescent="0.25">
      <c r="B23" s="1" t="s">
        <v>12</v>
      </c>
      <c r="C23" s="3">
        <v>1548</v>
      </c>
      <c r="D23" s="3">
        <v>-455</v>
      </c>
      <c r="E23" s="3">
        <v>-1207</v>
      </c>
      <c r="F23" s="3">
        <v>-135</v>
      </c>
      <c r="G23" s="3">
        <v>1610</v>
      </c>
      <c r="H23" s="3">
        <v>-2289</v>
      </c>
      <c r="I23" s="3">
        <v>-362</v>
      </c>
      <c r="J23" s="3">
        <v>128</v>
      </c>
      <c r="K23" s="3">
        <v>-282</v>
      </c>
      <c r="L23" s="3">
        <v>-350</v>
      </c>
      <c r="M23" s="3">
        <v>7.9029999999999996</v>
      </c>
      <c r="N23" s="3"/>
      <c r="Q23" s="3">
        <v>3010</v>
      </c>
      <c r="R23" s="3">
        <v>4179</v>
      </c>
      <c r="S23" s="3">
        <v>1835</v>
      </c>
      <c r="T23" s="3">
        <v>-249</v>
      </c>
      <c r="U23" s="3">
        <v>-913</v>
      </c>
      <c r="V23" s="3">
        <f>+V22*0.21</f>
        <v>2113.3318499999996</v>
      </c>
      <c r="W23" s="3">
        <f t="shared" ref="W23:AB23" si="35">+W22*0.21</f>
        <v>2049.2830512000005</v>
      </c>
      <c r="X23" s="3">
        <f t="shared" si="35"/>
        <v>1972.5308895600001</v>
      </c>
      <c r="Y23" s="3">
        <f t="shared" si="35"/>
        <v>2121.7150140794165</v>
      </c>
      <c r="Z23" s="3">
        <f t="shared" si="35"/>
        <v>2303.4229070490564</v>
      </c>
      <c r="AA23" s="3">
        <f t="shared" si="35"/>
        <v>2499.9575612803278</v>
      </c>
      <c r="AB23" s="3">
        <f t="shared" si="35"/>
        <v>2712.196110384451</v>
      </c>
    </row>
    <row r="24" spans="1:74" s="2" customFormat="1" x14ac:dyDescent="0.25">
      <c r="A24" s="1"/>
      <c r="B24" s="1" t="s">
        <v>13</v>
      </c>
      <c r="C24" s="3">
        <f t="shared" ref="C24:K24" si="36">+C22-C23</f>
        <v>7651</v>
      </c>
      <c r="D24" s="3">
        <f t="shared" si="36"/>
        <v>-454</v>
      </c>
      <c r="E24" s="3">
        <f t="shared" si="36"/>
        <v>1019</v>
      </c>
      <c r="F24" s="3">
        <f t="shared" si="36"/>
        <v>-661</v>
      </c>
      <c r="G24" s="3">
        <f t="shared" si="36"/>
        <v>-2768</v>
      </c>
      <c r="H24" s="3">
        <f t="shared" si="36"/>
        <v>1473</v>
      </c>
      <c r="I24" s="3">
        <f t="shared" si="36"/>
        <v>310</v>
      </c>
      <c r="J24" s="3">
        <f t="shared" si="36"/>
        <v>2660</v>
      </c>
      <c r="K24" s="3">
        <f t="shared" si="36"/>
        <v>-437</v>
      </c>
      <c r="L24" s="3">
        <f>+L22-L23</f>
        <v>-1654</v>
      </c>
      <c r="M24" s="3">
        <f t="shared" ref="M24:N24" si="37">+M22-M23</f>
        <v>-9064.9320000000007</v>
      </c>
      <c r="N24" s="3">
        <f t="shared" si="37"/>
        <v>0</v>
      </c>
      <c r="Q24" s="3">
        <f t="shared" ref="Q24:AB24" si="38">+Q22-Q23</f>
        <v>-18236</v>
      </c>
      <c r="R24" s="3">
        <f t="shared" si="38"/>
        <v>-21326</v>
      </c>
      <c r="S24" s="3">
        <f t="shared" si="38"/>
        <v>20543</v>
      </c>
      <c r="T24" s="3">
        <f t="shared" si="38"/>
        <v>8017</v>
      </c>
      <c r="U24" s="3">
        <f t="shared" si="38"/>
        <v>1675</v>
      </c>
      <c r="V24" s="3">
        <f t="shared" si="38"/>
        <v>7950.1531499999992</v>
      </c>
      <c r="W24" s="3">
        <f t="shared" si="38"/>
        <v>7709.2076688000034</v>
      </c>
      <c r="X24" s="3">
        <f t="shared" si="38"/>
        <v>7420.4733464400006</v>
      </c>
      <c r="Y24" s="3">
        <f t="shared" si="38"/>
        <v>7981.6898148701857</v>
      </c>
      <c r="Z24" s="3">
        <f t="shared" si="38"/>
        <v>8665.257602708356</v>
      </c>
      <c r="AA24" s="3">
        <f t="shared" si="38"/>
        <v>9404.6022543402814</v>
      </c>
      <c r="AB24" s="3">
        <f t="shared" si="38"/>
        <v>10203.02346287484</v>
      </c>
    </row>
    <row r="25" spans="1:74" x14ac:dyDescent="0.25">
      <c r="B25" s="1" t="s">
        <v>29</v>
      </c>
      <c r="C25" s="3">
        <v>0</v>
      </c>
      <c r="D25" s="3">
        <v>0</v>
      </c>
      <c r="E25" s="3">
        <v>4125</v>
      </c>
      <c r="F25" s="3">
        <v>-3</v>
      </c>
      <c r="G25" s="3">
        <v>-10</v>
      </c>
      <c r="H25" s="3">
        <v>-8</v>
      </c>
      <c r="I25" s="3">
        <v>-13</v>
      </c>
      <c r="J25" s="3">
        <v>-9</v>
      </c>
      <c r="K25" s="3">
        <v>-56</v>
      </c>
      <c r="L25" s="3">
        <v>-44</v>
      </c>
      <c r="M25" s="3">
        <v>-0.35</v>
      </c>
      <c r="N25" s="3"/>
      <c r="Q25" s="3">
        <v>0</v>
      </c>
      <c r="R25" s="3">
        <v>0</v>
      </c>
      <c r="S25" s="3">
        <v>0</v>
      </c>
      <c r="T25" s="3">
        <v>3</v>
      </c>
      <c r="U25" s="3">
        <v>-14</v>
      </c>
      <c r="V25" s="3"/>
      <c r="W25" s="3"/>
      <c r="X25" s="3"/>
      <c r="Y25" s="3"/>
      <c r="Z25" s="3"/>
      <c r="AA25" s="3"/>
      <c r="AB25" s="3"/>
    </row>
    <row r="26" spans="1:74" s="2" customFormat="1" x14ac:dyDescent="0.25">
      <c r="A26" s="1"/>
      <c r="B26" s="2" t="s">
        <v>28</v>
      </c>
      <c r="C26" s="4">
        <f t="shared" ref="C26:K26" si="39">+C24-C25</f>
        <v>7651</v>
      </c>
      <c r="D26" s="4">
        <f t="shared" si="39"/>
        <v>-454</v>
      </c>
      <c r="E26" s="4">
        <f t="shared" si="39"/>
        <v>-3106</v>
      </c>
      <c r="F26" s="4">
        <f t="shared" si="39"/>
        <v>-658</v>
      </c>
      <c r="G26" s="4">
        <f t="shared" si="39"/>
        <v>-2758</v>
      </c>
      <c r="H26" s="4">
        <f t="shared" si="39"/>
        <v>1481</v>
      </c>
      <c r="I26" s="4">
        <f t="shared" si="39"/>
        <v>323</v>
      </c>
      <c r="J26" s="4">
        <f t="shared" si="39"/>
        <v>2669</v>
      </c>
      <c r="K26" s="4">
        <f t="shared" si="39"/>
        <v>-381</v>
      </c>
      <c r="L26" s="4">
        <f>+L24-L25</f>
        <v>-1610</v>
      </c>
      <c r="M26" s="4">
        <f t="shared" ref="M26:N26" si="40">+M24-M25</f>
        <v>-9064.5820000000003</v>
      </c>
      <c r="N26" s="4">
        <f t="shared" si="40"/>
        <v>0</v>
      </c>
      <c r="Q26" s="4">
        <f t="shared" ref="Q26:AB26" si="41">+Q24-Q25</f>
        <v>-18236</v>
      </c>
      <c r="R26" s="4">
        <f t="shared" si="41"/>
        <v>-21326</v>
      </c>
      <c r="S26" s="4">
        <f t="shared" si="41"/>
        <v>20543</v>
      </c>
      <c r="T26" s="4">
        <f t="shared" si="41"/>
        <v>8014</v>
      </c>
      <c r="U26" s="4">
        <f t="shared" si="41"/>
        <v>1689</v>
      </c>
      <c r="V26" s="4">
        <f t="shared" si="41"/>
        <v>7950.1531499999992</v>
      </c>
      <c r="W26" s="4">
        <f t="shared" si="41"/>
        <v>7709.2076688000034</v>
      </c>
      <c r="X26" s="4">
        <f t="shared" si="41"/>
        <v>7420.4733464400006</v>
      </c>
      <c r="Y26" s="4">
        <f t="shared" si="41"/>
        <v>7981.6898148701857</v>
      </c>
      <c r="Z26" s="4">
        <f t="shared" si="41"/>
        <v>8665.257602708356</v>
      </c>
      <c r="AA26" s="4">
        <f t="shared" si="41"/>
        <v>9404.6022543402814</v>
      </c>
      <c r="AB26" s="4">
        <f t="shared" si="41"/>
        <v>10203.02346287484</v>
      </c>
      <c r="AC26" s="4">
        <f>+AB26*(1+$AE$3)</f>
        <v>10305.053697503588</v>
      </c>
      <c r="AD26" s="4">
        <f t="shared" ref="AD26:BV26" si="42">+AC26*(1+$AE$3)</f>
        <v>10408.104234478624</v>
      </c>
      <c r="AE26" s="4">
        <f t="shared" si="42"/>
        <v>10512.185276823409</v>
      </c>
      <c r="AF26" s="4">
        <f t="shared" si="42"/>
        <v>10617.307129591643</v>
      </c>
      <c r="AG26" s="4">
        <f t="shared" si="42"/>
        <v>10723.480200887559</v>
      </c>
      <c r="AH26" s="4">
        <f t="shared" si="42"/>
        <v>10830.715002896435</v>
      </c>
      <c r="AI26" s="4">
        <f t="shared" si="42"/>
        <v>10939.022152925399</v>
      </c>
      <c r="AJ26" s="4">
        <f t="shared" si="42"/>
        <v>11048.412374454654</v>
      </c>
      <c r="AK26" s="4">
        <f t="shared" si="42"/>
        <v>11158.896498199201</v>
      </c>
      <c r="AL26" s="4">
        <f t="shared" si="42"/>
        <v>11270.485463181194</v>
      </c>
      <c r="AM26" s="4">
        <f t="shared" si="42"/>
        <v>11383.190317813007</v>
      </c>
      <c r="AN26" s="4">
        <f t="shared" si="42"/>
        <v>11497.022220991137</v>
      </c>
      <c r="AO26" s="4">
        <f t="shared" si="42"/>
        <v>11611.992443201048</v>
      </c>
      <c r="AP26" s="4">
        <f t="shared" si="42"/>
        <v>11728.112367633059</v>
      </c>
      <c r="AQ26" s="4">
        <f t="shared" si="42"/>
        <v>11845.393491309389</v>
      </c>
      <c r="AR26" s="4">
        <f t="shared" si="42"/>
        <v>11963.847426222483</v>
      </c>
      <c r="AS26" s="4">
        <f t="shared" si="42"/>
        <v>12083.485900484708</v>
      </c>
      <c r="AT26" s="4">
        <f t="shared" si="42"/>
        <v>12204.320759489554</v>
      </c>
      <c r="AU26" s="4">
        <f t="shared" si="42"/>
        <v>12326.36396708445</v>
      </c>
      <c r="AV26" s="4">
        <f t="shared" si="42"/>
        <v>12449.627606755294</v>
      </c>
      <c r="AW26" s="4">
        <f t="shared" si="42"/>
        <v>12574.123882822847</v>
      </c>
      <c r="AX26" s="4">
        <f t="shared" si="42"/>
        <v>12699.865121651075</v>
      </c>
      <c r="AY26" s="4">
        <f t="shared" si="42"/>
        <v>12826.863772867586</v>
      </c>
      <c r="AZ26" s="4">
        <f t="shared" si="42"/>
        <v>12955.132410596261</v>
      </c>
      <c r="BA26" s="4">
        <f t="shared" si="42"/>
        <v>13084.683734702225</v>
      </c>
      <c r="BB26" s="4">
        <f t="shared" si="42"/>
        <v>13215.530572049247</v>
      </c>
      <c r="BC26" s="4">
        <f t="shared" si="42"/>
        <v>13347.68587776974</v>
      </c>
      <c r="BD26" s="4">
        <f t="shared" si="42"/>
        <v>13481.162736547438</v>
      </c>
      <c r="BE26" s="4">
        <f t="shared" si="42"/>
        <v>13615.974363912912</v>
      </c>
      <c r="BF26" s="4">
        <f t="shared" si="42"/>
        <v>13752.134107552041</v>
      </c>
      <c r="BG26" s="4">
        <f t="shared" si="42"/>
        <v>13889.655448627562</v>
      </c>
      <c r="BH26" s="4">
        <f t="shared" si="42"/>
        <v>14028.552003113837</v>
      </c>
      <c r="BI26" s="4">
        <f t="shared" si="42"/>
        <v>14168.837523144975</v>
      </c>
      <c r="BJ26" s="4">
        <f t="shared" si="42"/>
        <v>14310.525898376425</v>
      </c>
      <c r="BK26" s="4">
        <f t="shared" si="42"/>
        <v>14453.631157360189</v>
      </c>
      <c r="BL26" s="4">
        <f t="shared" si="42"/>
        <v>14598.167468933791</v>
      </c>
      <c r="BM26" s="4">
        <f t="shared" si="42"/>
        <v>14744.149143623128</v>
      </c>
      <c r="BN26" s="4">
        <f t="shared" si="42"/>
        <v>14891.59063505936</v>
      </c>
      <c r="BO26" s="4">
        <f t="shared" si="42"/>
        <v>15040.506541409954</v>
      </c>
      <c r="BP26" s="4">
        <f t="shared" si="42"/>
        <v>15190.911606824053</v>
      </c>
      <c r="BQ26" s="4">
        <f t="shared" si="42"/>
        <v>15342.820722892293</v>
      </c>
      <c r="BR26" s="4">
        <f t="shared" si="42"/>
        <v>15496.248930121215</v>
      </c>
      <c r="BS26" s="4">
        <f t="shared" si="42"/>
        <v>15651.211419422427</v>
      </c>
      <c r="BT26" s="4">
        <f t="shared" si="42"/>
        <v>15807.72353361665</v>
      </c>
      <c r="BU26" s="4">
        <f t="shared" si="42"/>
        <v>15965.800768952817</v>
      </c>
      <c r="BV26" s="4">
        <f t="shared" si="42"/>
        <v>16125.458776642345</v>
      </c>
    </row>
    <row r="27" spans="1:74" x14ac:dyDescent="0.25">
      <c r="B27" s="1" t="s">
        <v>26</v>
      </c>
      <c r="C27" s="1">
        <v>4107</v>
      </c>
      <c r="D27" s="1">
        <v>4100</v>
      </c>
      <c r="E27" s="1">
        <v>4125</v>
      </c>
      <c r="F27" s="1">
        <v>4133</v>
      </c>
      <c r="G27" s="1">
        <v>4154</v>
      </c>
      <c r="H27" s="1">
        <v>4196</v>
      </c>
      <c r="I27" s="1">
        <v>4229</v>
      </c>
      <c r="J27" s="1">
        <v>4260</v>
      </c>
      <c r="K27" s="1">
        <v>4242</v>
      </c>
      <c r="L27" s="1">
        <v>4267</v>
      </c>
      <c r="M27" s="1">
        <v>4292</v>
      </c>
      <c r="Q27" s="1">
        <v>4473</v>
      </c>
      <c r="R27" s="1">
        <v>4232</v>
      </c>
      <c r="S27" s="1">
        <v>4090</v>
      </c>
      <c r="T27" s="1">
        <v>4123</v>
      </c>
      <c r="U27" s="1">
        <v>4212</v>
      </c>
    </row>
    <row r="28" spans="1:74" x14ac:dyDescent="0.25">
      <c r="B28" s="1" t="s">
        <v>27</v>
      </c>
      <c r="C28" s="5">
        <f t="shared" ref="C28:K28" si="43">+C26/C27</f>
        <v>1.862916971025079</v>
      </c>
      <c r="D28" s="5">
        <f t="shared" si="43"/>
        <v>-0.11073170731707317</v>
      </c>
      <c r="E28" s="5">
        <f t="shared" si="43"/>
        <v>-0.75296969696969696</v>
      </c>
      <c r="F28" s="5">
        <f t="shared" si="43"/>
        <v>-0.1592063876119042</v>
      </c>
      <c r="G28" s="5">
        <f t="shared" si="43"/>
        <v>-0.66393837265286471</v>
      </c>
      <c r="H28" s="5">
        <f t="shared" si="43"/>
        <v>0.35295519542421355</v>
      </c>
      <c r="I28" s="5">
        <f t="shared" si="43"/>
        <v>7.6377394183021988E-2</v>
      </c>
      <c r="J28" s="5">
        <f t="shared" si="43"/>
        <v>0.62652582159624415</v>
      </c>
      <c r="K28" s="5">
        <f t="shared" si="43"/>
        <v>-8.9816124469589823E-2</v>
      </c>
      <c r="L28" s="5">
        <f>+L26/L27</f>
        <v>-0.37731427232247483</v>
      </c>
      <c r="M28" s="5">
        <f t="shared" ref="M28:N28" si="44">+M26/M27</f>
        <v>-2.1119715750232992</v>
      </c>
      <c r="N28" s="5" t="e">
        <f t="shared" si="44"/>
        <v>#DIV/0!</v>
      </c>
      <c r="Q28" s="5">
        <f t="shared" ref="Q28:AB28" si="45">+Q26/Q27</f>
        <v>-4.0769058797227808</v>
      </c>
      <c r="R28" s="5">
        <f t="shared" si="45"/>
        <v>-5.0392249527410211</v>
      </c>
      <c r="S28" s="5">
        <f t="shared" si="45"/>
        <v>5.0227383863080686</v>
      </c>
      <c r="T28" s="5">
        <f t="shared" si="45"/>
        <v>1.9437302934756246</v>
      </c>
      <c r="U28" s="5">
        <f t="shared" si="45"/>
        <v>0.400997150997151</v>
      </c>
      <c r="V28" s="5" t="e">
        <f t="shared" si="45"/>
        <v>#DIV/0!</v>
      </c>
      <c r="W28" s="5" t="e">
        <f t="shared" si="45"/>
        <v>#DIV/0!</v>
      </c>
      <c r="X28" s="5" t="e">
        <f t="shared" si="45"/>
        <v>#DIV/0!</v>
      </c>
      <c r="Y28" s="5" t="e">
        <f t="shared" si="45"/>
        <v>#DIV/0!</v>
      </c>
      <c r="Z28" s="5" t="e">
        <f t="shared" si="45"/>
        <v>#DIV/0!</v>
      </c>
      <c r="AA28" s="5" t="e">
        <f t="shared" si="45"/>
        <v>#DIV/0!</v>
      </c>
      <c r="AB28" s="5" t="e">
        <f t="shared" si="45"/>
        <v>#DIV/0!</v>
      </c>
    </row>
    <row r="30" spans="1:74" x14ac:dyDescent="0.25">
      <c r="B30" s="2" t="s">
        <v>30</v>
      </c>
      <c r="C30" s="2"/>
      <c r="D30" s="2"/>
      <c r="E30" s="2"/>
      <c r="F30" s="2"/>
      <c r="G30" s="9">
        <f t="shared" ref="G30" si="46">+G12/C12-1</f>
        <v>-0.3452014979598681</v>
      </c>
      <c r="H30" s="9">
        <f t="shared" ref="H30" si="47">+H12/D12-1</f>
        <v>-0.15482018145029697</v>
      </c>
      <c r="I30" s="9">
        <f t="shared" ref="I30" si="48">+I12/E12-1</f>
        <v>-7.6933107315164895E-2</v>
      </c>
      <c r="J30" s="9">
        <f t="shared" ref="J30:K30" si="49">+J12/F12-1</f>
        <v>9.7137159948725182E-2</v>
      </c>
      <c r="K30" s="9">
        <f t="shared" si="49"/>
        <v>8.6128894579598825E-2</v>
      </c>
      <c r="L30" s="9">
        <f>+L12/H12-1</f>
        <v>-8.9582207120241231E-3</v>
      </c>
      <c r="M30" s="9">
        <f t="shared" ref="M30" si="50">+M12/I12-1</f>
        <v>-6.1731883034326862E-2</v>
      </c>
      <c r="S30" s="7">
        <f t="shared" ref="S30:T30" si="51">+S12/R12-1</f>
        <v>1.2360978620728353</v>
      </c>
      <c r="T30" s="7">
        <f t="shared" si="51"/>
        <v>-0.20884829169751185</v>
      </c>
      <c r="U30" s="7">
        <f>+U12/T12-1</f>
        <v>-0.13997525930155108</v>
      </c>
      <c r="V30" s="7">
        <f t="shared" ref="V30:AB30" si="52">+V12/U12-1</f>
        <v>-0.16674596149590626</v>
      </c>
      <c r="W30" s="7">
        <f t="shared" si="52"/>
        <v>1.296673062495457E-2</v>
      </c>
      <c r="X30" s="7">
        <f t="shared" si="52"/>
        <v>1.8619693060922371E-2</v>
      </c>
      <c r="Y30" s="7">
        <f t="shared" si="52"/>
        <v>2.3866837418777154E-2</v>
      </c>
      <c r="Z30" s="7">
        <f t="shared" si="52"/>
        <v>2.8685857229044931E-2</v>
      </c>
      <c r="AA30" s="7">
        <f t="shared" si="52"/>
        <v>3.306880152880276E-2</v>
      </c>
      <c r="AB30" s="7">
        <f t="shared" si="52"/>
        <v>3.7020062907646034E-2</v>
      </c>
    </row>
    <row r="31" spans="1:74" x14ac:dyDescent="0.25">
      <c r="B31" s="1" t="s">
        <v>94</v>
      </c>
      <c r="G31" s="7">
        <f t="shared" ref="G31:G32" si="53">+G2/C2-1</f>
        <v>-0.68467863735526091</v>
      </c>
      <c r="H31" s="7">
        <f t="shared" ref="H31:H32" si="54">+H2/D2-1</f>
        <v>3.5386631716906924E-2</v>
      </c>
      <c r="I31" s="7">
        <f t="shared" ref="I31:I32" si="55">+I2/E2-1</f>
        <v>-0.14556176288019862</v>
      </c>
      <c r="J31" s="7">
        <f>+J2/F2-1</f>
        <v>0.26106018333997616</v>
      </c>
      <c r="K31" s="7">
        <f>+K2/G2-1</f>
        <v>0.30973922299095258</v>
      </c>
      <c r="L31" s="7">
        <f>+L2/H2-1</f>
        <v>6.6244725738396681E-2</v>
      </c>
      <c r="M31" s="7">
        <f t="shared" ref="M31:M32" si="56">+M2/I2-1</f>
        <v>-0.24809298946603708</v>
      </c>
      <c r="S31" s="7">
        <f t="shared" ref="S31:T31" si="57">+S2/R2-1</f>
        <v>0.1632061354283576</v>
      </c>
      <c r="T31" s="7">
        <f t="shared" si="57"/>
        <v>-0.14279971054112728</v>
      </c>
      <c r="U31" s="7">
        <f>+U2/T2-1</f>
        <v>-4.6430916424350488E-2</v>
      </c>
      <c r="V31" s="7">
        <f t="shared" ref="V31:AB32" si="58">+V2/U2-1</f>
        <v>8.0000000000000071E-2</v>
      </c>
      <c r="W31" s="7">
        <f t="shared" si="58"/>
        <v>7.0000000000000062E-2</v>
      </c>
      <c r="X31" s="7">
        <f t="shared" si="58"/>
        <v>7.0000000000000062E-2</v>
      </c>
      <c r="Y31" s="7">
        <f t="shared" si="58"/>
        <v>7.0000000000000062E-2</v>
      </c>
      <c r="Z31" s="7">
        <f t="shared" si="58"/>
        <v>7.0000000000000062E-2</v>
      </c>
      <c r="AA31" s="7">
        <f t="shared" si="58"/>
        <v>7.0000000000000062E-2</v>
      </c>
      <c r="AB31" s="7">
        <f t="shared" si="58"/>
        <v>7.0000000000000062E-2</v>
      </c>
    </row>
    <row r="32" spans="1:74" x14ac:dyDescent="0.25">
      <c r="B32" s="1" t="s">
        <v>95</v>
      </c>
      <c r="G32" s="7">
        <f t="shared" si="53"/>
        <v>0.29004165088981448</v>
      </c>
      <c r="H32" s="7">
        <f t="shared" si="54"/>
        <v>-0.17996211323931799</v>
      </c>
      <c r="I32" s="7">
        <f t="shared" si="55"/>
        <v>2.155172413793105E-2</v>
      </c>
      <c r="J32" s="7">
        <f t="shared" ref="J32:K32" si="59">+J3/F3-1</f>
        <v>0.41550641550641543</v>
      </c>
      <c r="K32" s="7">
        <f t="shared" si="59"/>
        <v>0.37393601408864097</v>
      </c>
      <c r="L32" s="7">
        <f>+L3/H3-1</f>
        <v>0.14989733059548249</v>
      </c>
      <c r="M32" s="7">
        <f t="shared" si="56"/>
        <v>8.5498556517876967E-2</v>
      </c>
      <c r="S32" s="7">
        <f t="shared" ref="S32:U32" si="60">+S3/R3-1</f>
        <v>2.168413444163364E-2</v>
      </c>
      <c r="T32" s="7">
        <f t="shared" si="60"/>
        <v>-0.26184019180128126</v>
      </c>
      <c r="U32" s="7">
        <f t="shared" si="60"/>
        <v>-9.5362334274000315E-2</v>
      </c>
      <c r="V32" s="7">
        <f t="shared" si="58"/>
        <v>6.0000000000000053E-2</v>
      </c>
      <c r="W32" s="7">
        <f t="shared" si="58"/>
        <v>6.0000000000000053E-2</v>
      </c>
      <c r="X32" s="7">
        <f t="shared" si="58"/>
        <v>6.0000000000000053E-2</v>
      </c>
      <c r="Y32" s="7">
        <f t="shared" si="58"/>
        <v>6.0000000000000053E-2</v>
      </c>
      <c r="Z32" s="7">
        <f t="shared" si="58"/>
        <v>6.0000000000000053E-2</v>
      </c>
      <c r="AA32" s="7">
        <f t="shared" si="58"/>
        <v>6.0000000000000053E-2</v>
      </c>
      <c r="AB32" s="7">
        <f t="shared" si="58"/>
        <v>6.0000000000000053E-2</v>
      </c>
    </row>
    <row r="33" spans="2:28" x14ac:dyDescent="0.25">
      <c r="B33" s="1" t="s">
        <v>91</v>
      </c>
      <c r="G33" s="7">
        <f t="shared" ref="G33:G35" si="61">+G6/C6-1</f>
        <v>-0.51922439509446472</v>
      </c>
      <c r="H33" s="7">
        <f t="shared" ref="H33:H35" si="62">+H6/D6-1</f>
        <v>-0.32800851970181044</v>
      </c>
      <c r="I33" s="7">
        <f t="shared" ref="I33:I35" si="63">+I6/E6-1</f>
        <v>-0.10364277320799065</v>
      </c>
      <c r="J33" s="7">
        <f t="shared" ref="J33:K35" si="64">+J6/F6-1</f>
        <v>-9.8620221669305619E-2</v>
      </c>
      <c r="K33" s="7">
        <f t="shared" si="64"/>
        <v>4.6535677352637084E-2</v>
      </c>
      <c r="L33" s="7">
        <f>+L6/H6-1</f>
        <v>-3.4865293185419977E-2</v>
      </c>
      <c r="M33" s="7">
        <f t="shared" ref="M33:M35" si="65">+M6/I6-1</f>
        <v>-0.12191924488725747</v>
      </c>
      <c r="S33" s="7"/>
      <c r="T33" s="7">
        <f t="shared" ref="T33" si="66">+T6/S6-1</f>
        <v>-0.14305231148913666</v>
      </c>
      <c r="U33" s="7">
        <f>+U6/T6-1</f>
        <v>-0.20179994857289796</v>
      </c>
    </row>
    <row r="34" spans="2:28" x14ac:dyDescent="0.25">
      <c r="B34" s="1" t="s">
        <v>92</v>
      </c>
      <c r="G34" s="7">
        <f t="shared" si="61"/>
        <v>-0.32715770447356529</v>
      </c>
      <c r="H34" s="7">
        <f t="shared" si="62"/>
        <v>-0.38308457711442789</v>
      </c>
      <c r="I34" s="7">
        <f t="shared" si="63"/>
        <v>-0.32020628223159864</v>
      </c>
      <c r="J34" s="7">
        <f t="shared" si="64"/>
        <v>-0.23624091381100731</v>
      </c>
      <c r="K34" s="7">
        <f t="shared" si="64"/>
        <v>-8.3948959032907999E-2</v>
      </c>
      <c r="L34" s="7">
        <f>+L7/H7-1</f>
        <v>-1.4662756598240456E-2</v>
      </c>
      <c r="M34" s="7">
        <f t="shared" si="65"/>
        <v>4.2068965517241486E-2</v>
      </c>
      <c r="S34" s="7"/>
      <c r="T34" s="7">
        <f t="shared" ref="T34:U35" si="67">+T7/S7-1</f>
        <v>5.4287863590772423E-2</v>
      </c>
      <c r="U34" s="7">
        <f t="shared" si="67"/>
        <v>-0.31335473897015098</v>
      </c>
    </row>
    <row r="35" spans="2:28" x14ac:dyDescent="0.25">
      <c r="B35" s="1" t="s">
        <v>93</v>
      </c>
      <c r="G35" s="7">
        <f t="shared" si="61"/>
        <v>16.070671378091873</v>
      </c>
      <c r="H35" s="7">
        <f t="shared" si="62"/>
        <v>8.0695652173913039</v>
      </c>
      <c r="I35" s="7">
        <f t="shared" si="63"/>
        <v>0.17777777777777781</v>
      </c>
      <c r="J35" s="7">
        <f t="shared" si="64"/>
        <v>0.12743362831858418</v>
      </c>
      <c r="K35" s="7">
        <f t="shared" si="64"/>
        <v>-9.5632374249637775E-2</v>
      </c>
      <c r="L35" s="7">
        <f>+L8/H8-1</f>
        <v>3.5474592521572479E-2</v>
      </c>
      <c r="M35" s="7">
        <f t="shared" si="65"/>
        <v>7.2113207547169811</v>
      </c>
      <c r="S35" s="7"/>
      <c r="T35" s="7"/>
      <c r="U35" s="7">
        <f t="shared" si="67"/>
        <v>0.11235955056179781</v>
      </c>
    </row>
    <row r="36" spans="2:28" x14ac:dyDescent="0.25">
      <c r="L36" s="7"/>
    </row>
    <row r="37" spans="2:28" x14ac:dyDescent="0.25">
      <c r="B37" s="1" t="s">
        <v>96</v>
      </c>
      <c r="C37" s="3">
        <v>2827</v>
      </c>
      <c r="D37" s="3">
        <v>876</v>
      </c>
      <c r="E37" s="3">
        <v>1447</v>
      </c>
      <c r="F37" s="3">
        <v>524</v>
      </c>
      <c r="G37" s="3">
        <v>1180</v>
      </c>
      <c r="H37" s="3">
        <v>1039</v>
      </c>
      <c r="I37" s="3">
        <v>2073</v>
      </c>
      <c r="J37" s="3">
        <v>2888</v>
      </c>
      <c r="K37" s="3">
        <v>2645</v>
      </c>
      <c r="L37" s="3">
        <v>2497</v>
      </c>
      <c r="R37" s="3"/>
      <c r="S37" s="3">
        <v>15704</v>
      </c>
      <c r="T37" s="3">
        <v>5569</v>
      </c>
      <c r="U37" s="3">
        <v>6520</v>
      </c>
      <c r="V37" s="3">
        <f>+V5*0.3</f>
        <v>9365.0399999999991</v>
      </c>
      <c r="W37" s="3">
        <f>+W5*0.275</f>
        <v>9129.890220000003</v>
      </c>
      <c r="X37" s="3">
        <f>+X5*0.25</f>
        <v>8827.2637860000013</v>
      </c>
      <c r="Y37" s="3">
        <f t="shared" ref="Y37:AB37" si="68">+Y5*0.25</f>
        <v>9388.3250573400019</v>
      </c>
      <c r="Z37" s="3">
        <f t="shared" si="68"/>
        <v>9985.2497860530038</v>
      </c>
      <c r="AA37" s="3">
        <f t="shared" si="68"/>
        <v>10620.343764257866</v>
      </c>
      <c r="AB37" s="3">
        <f t="shared" si="68"/>
        <v>11296.061910527938</v>
      </c>
    </row>
    <row r="38" spans="2:28" x14ac:dyDescent="0.25">
      <c r="B38" s="1" t="s">
        <v>99</v>
      </c>
      <c r="C38" s="7">
        <f t="shared" ref="C38:G38" si="69">+C37/(C2+C3+C4)</f>
        <v>0.30417473638906822</v>
      </c>
      <c r="D38" s="7">
        <f t="shared" si="69"/>
        <v>0.11409221151341495</v>
      </c>
      <c r="E38" s="7">
        <f t="shared" si="69"/>
        <v>0.1780265748031496</v>
      </c>
      <c r="F38" s="7">
        <f t="shared" si="69"/>
        <v>7.8856282919488332E-2</v>
      </c>
      <c r="G38" s="7">
        <f t="shared" si="69"/>
        <v>0.20461245014739032</v>
      </c>
      <c r="H38" s="7">
        <f>+H37/(H2+H3+H4)</f>
        <v>0.1532448377581121</v>
      </c>
      <c r="I38" s="7">
        <f t="shared" ref="I38:K38" si="70">+I37/(I2+I3+I4)</f>
        <v>0.26350578365323502</v>
      </c>
      <c r="J38" s="7">
        <f t="shared" si="70"/>
        <v>0.32654907281772955</v>
      </c>
      <c r="K38" s="7">
        <f t="shared" si="70"/>
        <v>0.35112173105004646</v>
      </c>
      <c r="L38" s="7">
        <f>+L37/(L2+L3+L4)</f>
        <v>0.33697705802968964</v>
      </c>
      <c r="R38" s="7">
        <f t="shared" ref="R38:S38" si="71">+R37/R3</f>
        <v>0</v>
      </c>
      <c r="S38" s="7">
        <f t="shared" si="71"/>
        <v>0.617222811775341</v>
      </c>
      <c r="T38" s="7">
        <f>+T37/T3</f>
        <v>0.29652308183802778</v>
      </c>
      <c r="U38" s="7">
        <f>+U37/(U2+U3+U4)</f>
        <v>0.2228450338368993</v>
      </c>
      <c r="V38" s="7">
        <f>+V37/(V2+V3+V4)</f>
        <v>0.3</v>
      </c>
      <c r="W38" s="7">
        <f t="shared" ref="W38:AB38" si="72">+W37/(W2+W3+W4)</f>
        <v>0.27500000000000002</v>
      </c>
      <c r="X38" s="7">
        <f t="shared" si="72"/>
        <v>0.25</v>
      </c>
      <c r="Y38" s="7">
        <f t="shared" si="72"/>
        <v>0.25</v>
      </c>
      <c r="Z38" s="7">
        <f t="shared" si="72"/>
        <v>0.25</v>
      </c>
      <c r="AA38" s="7">
        <f t="shared" si="72"/>
        <v>0.25</v>
      </c>
      <c r="AB38" s="7">
        <f t="shared" si="72"/>
        <v>0.25</v>
      </c>
    </row>
    <row r="39" spans="2:28" x14ac:dyDescent="0.25">
      <c r="B39" s="1" t="s">
        <v>97</v>
      </c>
      <c r="C39" s="3">
        <v>1686</v>
      </c>
      <c r="D39" s="3">
        <v>-80</v>
      </c>
      <c r="E39" s="3">
        <v>-139</v>
      </c>
      <c r="F39" s="3">
        <v>126</v>
      </c>
      <c r="G39" s="3">
        <v>22</v>
      </c>
      <c r="H39" s="3">
        <v>-161</v>
      </c>
      <c r="I39" s="3">
        <v>71</v>
      </c>
      <c r="J39" s="3">
        <v>78</v>
      </c>
      <c r="K39" s="3">
        <v>482</v>
      </c>
      <c r="L39" s="3">
        <v>276</v>
      </c>
      <c r="R39" s="3"/>
      <c r="S39" s="3">
        <v>8439</v>
      </c>
      <c r="T39" s="3">
        <v>1300</v>
      </c>
      <c r="U39" s="3">
        <v>-530</v>
      </c>
      <c r="V39" s="3">
        <f>+V6*0.05</f>
        <v>698.44500000000005</v>
      </c>
      <c r="W39" s="3">
        <f t="shared" ref="W39:AB39" si="73">+W6*0.05</f>
        <v>628.60050000000001</v>
      </c>
      <c r="X39" s="3">
        <f t="shared" si="73"/>
        <v>565.74045000000012</v>
      </c>
      <c r="Y39" s="3">
        <f t="shared" si="73"/>
        <v>509.16640500000005</v>
      </c>
      <c r="Z39" s="3">
        <f t="shared" si="73"/>
        <v>458.24976450000008</v>
      </c>
      <c r="AA39" s="3">
        <f t="shared" si="73"/>
        <v>412.42478805000002</v>
      </c>
      <c r="AB39" s="3">
        <f t="shared" si="73"/>
        <v>371.18230924500006</v>
      </c>
    </row>
    <row r="40" spans="2:28" x14ac:dyDescent="0.25">
      <c r="B40" s="1" t="s">
        <v>99</v>
      </c>
      <c r="C40" s="6">
        <f t="shared" ref="C40:G40" si="74">+C39/C6</f>
        <v>0.27941663904540937</v>
      </c>
      <c r="D40" s="6">
        <f t="shared" si="74"/>
        <v>-1.7039403620873271E-2</v>
      </c>
      <c r="E40" s="6">
        <f t="shared" si="74"/>
        <v>-3.2667450058754405E-2</v>
      </c>
      <c r="F40" s="6">
        <f t="shared" si="74"/>
        <v>2.850033928975345E-2</v>
      </c>
      <c r="G40" s="6">
        <f t="shared" si="74"/>
        <v>7.5835918648741816E-3</v>
      </c>
      <c r="H40" s="6">
        <f t="shared" ref="H40:K40" si="75">+H39/H6</f>
        <v>-5.103011093502377E-2</v>
      </c>
      <c r="I40" s="6">
        <f t="shared" si="75"/>
        <v>1.8615626638699527E-2</v>
      </c>
      <c r="J40" s="6">
        <f t="shared" si="75"/>
        <v>1.957340025094103E-2</v>
      </c>
      <c r="K40" s="6">
        <f t="shared" si="75"/>
        <v>0.15876152832674573</v>
      </c>
      <c r="L40" s="6">
        <f>+L39/L6</f>
        <v>9.0640394088669946E-2</v>
      </c>
      <c r="R40" s="7">
        <f t="shared" ref="R40:S40" si="76">+R39/R5</f>
        <v>0</v>
      </c>
      <c r="S40" s="7">
        <f t="shared" si="76"/>
        <v>0.20549346190371831</v>
      </c>
      <c r="T40" s="7">
        <f>+T39/T5</f>
        <v>4.0915242501494982E-2</v>
      </c>
      <c r="U40" s="6">
        <f>+U39/U6</f>
        <v>-3.414728432446363E-2</v>
      </c>
      <c r="V40" s="6">
        <f t="shared" ref="V40:AB40" si="77">+V39/V6</f>
        <v>0.05</v>
      </c>
      <c r="W40" s="6">
        <f t="shared" si="77"/>
        <v>0.05</v>
      </c>
      <c r="X40" s="6">
        <f t="shared" si="77"/>
        <v>0.05</v>
      </c>
      <c r="Y40" s="6">
        <f t="shared" si="77"/>
        <v>0.05</v>
      </c>
      <c r="Z40" s="6">
        <f t="shared" si="77"/>
        <v>0.05</v>
      </c>
      <c r="AA40" s="6">
        <f t="shared" si="77"/>
        <v>0.05</v>
      </c>
      <c r="AB40" s="6">
        <f t="shared" si="77"/>
        <v>0.05</v>
      </c>
    </row>
    <row r="41" spans="2:28" x14ac:dyDescent="0.25">
      <c r="B41" s="1" t="s">
        <v>98</v>
      </c>
      <c r="C41" s="3">
        <v>366</v>
      </c>
      <c r="D41" s="3">
        <v>294</v>
      </c>
      <c r="E41" s="3">
        <v>197</v>
      </c>
      <c r="F41" s="3">
        <v>126</v>
      </c>
      <c r="G41" s="3">
        <v>-69</v>
      </c>
      <c r="H41" s="3">
        <v>-187</v>
      </c>
      <c r="I41" s="3">
        <v>17</v>
      </c>
      <c r="J41" s="3">
        <v>-12</v>
      </c>
      <c r="K41" s="3">
        <v>184</v>
      </c>
      <c r="L41" s="3">
        <v>139</v>
      </c>
      <c r="R41" s="3"/>
      <c r="S41" s="3"/>
      <c r="T41" s="3">
        <v>1033</v>
      </c>
      <c r="U41" s="3">
        <v>-482</v>
      </c>
    </row>
    <row r="42" spans="2:28" x14ac:dyDescent="0.25">
      <c r="B42" s="1" t="s">
        <v>99</v>
      </c>
      <c r="C42" s="7">
        <f t="shared" ref="C42:G42" si="78">+C41/C7</f>
        <v>0.16538635336647087</v>
      </c>
      <c r="D42" s="7">
        <f t="shared" si="78"/>
        <v>0.13297150610583447</v>
      </c>
      <c r="E42" s="7">
        <f t="shared" si="78"/>
        <v>9.2358180965775902E-2</v>
      </c>
      <c r="F42" s="7">
        <f t="shared" si="78"/>
        <v>6.5420560747663545E-2</v>
      </c>
      <c r="G42" s="7">
        <f t="shared" si="78"/>
        <v>-4.6339825386165212E-2</v>
      </c>
      <c r="H42" s="7">
        <f t="shared" ref="H42:K42" si="79">+H41/H7</f>
        <v>-0.13709677419354838</v>
      </c>
      <c r="I42" s="7">
        <f t="shared" si="79"/>
        <v>1.1724137931034483E-2</v>
      </c>
      <c r="J42" s="7">
        <f t="shared" si="79"/>
        <v>-8.1577158395649222E-3</v>
      </c>
      <c r="K42" s="7">
        <f t="shared" si="79"/>
        <v>0.13489736070381231</v>
      </c>
      <c r="L42" s="7">
        <f>+L41/L7</f>
        <v>0.10342261904761904</v>
      </c>
      <c r="R42" s="7" t="e">
        <f t="shared" ref="R42:S42" si="80">+R41/R7</f>
        <v>#DIV/0!</v>
      </c>
      <c r="S42" s="7">
        <f t="shared" si="80"/>
        <v>0</v>
      </c>
      <c r="T42" s="7">
        <f>+T41/T7</f>
        <v>0.12284457129266263</v>
      </c>
      <c r="U42" s="7">
        <f>+U41/U7</f>
        <v>-8.3477658468998961E-2</v>
      </c>
    </row>
    <row r="43" spans="2:28" x14ac:dyDescent="0.25">
      <c r="L43" s="7"/>
    </row>
    <row r="44" spans="2:28" x14ac:dyDescent="0.25">
      <c r="B44" s="1" t="s">
        <v>31</v>
      </c>
      <c r="C44" s="7">
        <f t="shared" ref="C44:D44" si="81">+C14/C12</f>
        <v>0.4908613269241518</v>
      </c>
      <c r="D44" s="7">
        <f t="shared" si="81"/>
        <v>0.36466288101298872</v>
      </c>
      <c r="E44" s="7">
        <f t="shared" ref="E44:L44" si="82">+E14/E12</f>
        <v>0.42606597991915501</v>
      </c>
      <c r="F44" s="7">
        <f t="shared" si="82"/>
        <v>0.39168209656744052</v>
      </c>
      <c r="G44" s="7">
        <f t="shared" si="82"/>
        <v>0.34212548015364919</v>
      </c>
      <c r="H44" s="7">
        <f t="shared" si="82"/>
        <v>0.35817437639972199</v>
      </c>
      <c r="I44" s="7">
        <f t="shared" si="82"/>
        <v>0.42506003672835146</v>
      </c>
      <c r="J44" s="7">
        <f t="shared" si="82"/>
        <v>0.45741918732961184</v>
      </c>
      <c r="K44" s="7">
        <f t="shared" si="82"/>
        <v>0.41001257466205598</v>
      </c>
      <c r="L44" s="7">
        <f t="shared" si="82"/>
        <v>0.35432089145172602</v>
      </c>
      <c r="M44" s="7">
        <f t="shared" ref="M44" si="83">+M14/M12</f>
        <v>0.15033122553447756</v>
      </c>
      <c r="R44" s="7">
        <f t="shared" ref="R44:S44" si="84">+R14/R12</f>
        <v>3.891476348128612E-2</v>
      </c>
      <c r="S44" s="7">
        <f t="shared" si="84"/>
        <v>0.55822532277694825</v>
      </c>
      <c r="T44" s="7">
        <f>+T14/T12</f>
        <v>0.42607923367272499</v>
      </c>
      <c r="U44" s="7">
        <f>+U14/U12</f>
        <v>0.40036512502766097</v>
      </c>
      <c r="V44" s="7"/>
      <c r="W44" s="7"/>
      <c r="X44" s="7"/>
      <c r="Y44" s="7"/>
      <c r="Z44" s="7"/>
      <c r="AA44" s="7"/>
      <c r="AB44" s="7"/>
    </row>
    <row r="45" spans="2:28" x14ac:dyDescent="0.25">
      <c r="B45" s="1" t="s">
        <v>32</v>
      </c>
      <c r="C45" s="7">
        <f t="shared" ref="C45:D45" si="85">+C19/C12</f>
        <v>0.21681292269856353</v>
      </c>
      <c r="D45" s="7">
        <f t="shared" si="85"/>
        <v>-4.5688923699497425E-2</v>
      </c>
      <c r="E45" s="7">
        <f t="shared" ref="E45:L45" si="86">+E19/E12</f>
        <v>-1.1409571000130394E-2</v>
      </c>
      <c r="F45" s="7">
        <f t="shared" si="86"/>
        <v>-8.0615296966244129E-2</v>
      </c>
      <c r="G45" s="7">
        <f t="shared" si="86"/>
        <v>-0.12530943235168587</v>
      </c>
      <c r="H45" s="7">
        <f t="shared" si="86"/>
        <v>-7.8461657270831722E-2</v>
      </c>
      <c r="I45" s="7">
        <f t="shared" si="86"/>
        <v>-5.6505156095493713E-4</v>
      </c>
      <c r="J45" s="7">
        <f t="shared" si="86"/>
        <v>0.16779176944047774</v>
      </c>
      <c r="K45" s="7">
        <f t="shared" si="86"/>
        <v>-8.4014460861364354E-2</v>
      </c>
      <c r="L45" s="7">
        <f t="shared" si="86"/>
        <v>-0.15304293618016052</v>
      </c>
      <c r="M45" s="7">
        <f t="shared" ref="M45" si="87">+M19/M12</f>
        <v>-0.68179765130984649</v>
      </c>
      <c r="R45" s="7">
        <f t="shared" ref="R45:S45" si="88">+R19/R12</f>
        <v>-0.52036922731608781</v>
      </c>
      <c r="S45" s="7">
        <f t="shared" si="88"/>
        <v>0.25258786183013587</v>
      </c>
      <c r="T45" s="7">
        <f>+T19/T12</f>
        <v>3.7015891140926828E-2</v>
      </c>
      <c r="U45" s="7">
        <f>+U19/U12</f>
        <v>1.714981190528878E-3</v>
      </c>
      <c r="V45" s="7">
        <f t="shared" ref="V45:AB45" si="89">+V19/V12</f>
        <v>0.22271393383304894</v>
      </c>
      <c r="W45" s="7">
        <f t="shared" si="89"/>
        <v>0.21319963508909329</v>
      </c>
      <c r="X45" s="7">
        <f t="shared" si="89"/>
        <v>0.20146344384903969</v>
      </c>
      <c r="Y45" s="7">
        <f t="shared" si="89"/>
        <v>0.20733536926931712</v>
      </c>
      <c r="Z45" s="7">
        <f t="shared" si="89"/>
        <v>0.21267260078694275</v>
      </c>
      <c r="AA45" s="7">
        <f t="shared" si="89"/>
        <v>0.21748071450610459</v>
      </c>
      <c r="AB45" s="7">
        <f t="shared" si="89"/>
        <v>0.22177744385923964</v>
      </c>
    </row>
    <row r="46" spans="2:28" x14ac:dyDescent="0.25">
      <c r="B46" s="1" t="s">
        <v>33</v>
      </c>
      <c r="C46" s="7">
        <f t="shared" ref="C46:D46" si="90">+C26/C12</f>
        <v>0.42764518472975238</v>
      </c>
      <c r="D46" s="7">
        <f t="shared" si="90"/>
        <v>-2.9632530513674041E-2</v>
      </c>
      <c r="E46" s="7">
        <f t="shared" ref="E46:L46" si="91">+E26/E12</f>
        <v>-0.20250358586517148</v>
      </c>
      <c r="F46" s="7">
        <f t="shared" si="91"/>
        <v>-4.6859421734795612E-2</v>
      </c>
      <c r="G46" s="7">
        <f t="shared" si="91"/>
        <v>-0.23542466922748612</v>
      </c>
      <c r="H46" s="7">
        <f t="shared" si="91"/>
        <v>0.114371766159549</v>
      </c>
      <c r="I46" s="7">
        <f t="shared" si="91"/>
        <v>2.2813956773555587E-2</v>
      </c>
      <c r="J46" s="7">
        <f t="shared" si="91"/>
        <v>0.1732441905751006</v>
      </c>
      <c r="K46" s="7">
        <f t="shared" si="91"/>
        <v>-2.9943414020748193E-2</v>
      </c>
      <c r="L46" s="7">
        <f t="shared" si="91"/>
        <v>-0.12545780409880777</v>
      </c>
      <c r="M46" s="7">
        <f t="shared" ref="M46" si="92">+M26/M12</f>
        <v>-0.68236841312857577</v>
      </c>
      <c r="R46" s="7">
        <f t="shared" ref="R46:S46" si="93">+R26/R12</f>
        <v>-0.59833903821334378</v>
      </c>
      <c r="S46" s="7">
        <f t="shared" si="93"/>
        <v>0.25775731188597095</v>
      </c>
      <c r="T46" s="7">
        <f>+T26/T12</f>
        <v>0.1270974085704317</v>
      </c>
      <c r="U46" s="7">
        <f>+U26/U12</f>
        <v>3.1146271298959947E-2</v>
      </c>
      <c r="V46" s="7">
        <f t="shared" ref="V46:AB46" si="94">+V26/V12</f>
        <v>0.17594400772810867</v>
      </c>
      <c r="W46" s="7">
        <f t="shared" si="94"/>
        <v>0.1684277117203837</v>
      </c>
      <c r="X46" s="7">
        <f t="shared" si="94"/>
        <v>0.15915612064074136</v>
      </c>
      <c r="Y46" s="7">
        <f t="shared" si="94"/>
        <v>0.16720263022768023</v>
      </c>
      <c r="Z46" s="7">
        <f t="shared" si="94"/>
        <v>0.17646028153074717</v>
      </c>
      <c r="AA46" s="7">
        <f t="shared" si="94"/>
        <v>0.18538589006218212</v>
      </c>
      <c r="AB46" s="7">
        <f t="shared" si="94"/>
        <v>0.19394472427322407</v>
      </c>
    </row>
    <row r="48" spans="2:28" x14ac:dyDescent="0.25">
      <c r="B48" s="1" t="s">
        <v>34</v>
      </c>
      <c r="J48" s="3">
        <f>+J49+J50+J55-J61-J66</f>
        <v>-18403</v>
      </c>
      <c r="L48" s="3">
        <f>+L49+L50+L55-L61-L66</f>
        <v>-17932</v>
      </c>
      <c r="U48" s="3">
        <f>+L48</f>
        <v>-17932</v>
      </c>
      <c r="V48" s="3">
        <f>+U48+V26</f>
        <v>-9981.8468500000017</v>
      </c>
      <c r="W48" s="3">
        <f t="shared" ref="W48:AB48" si="95">+V48+W26</f>
        <v>-2272.6391811999983</v>
      </c>
      <c r="X48" s="3">
        <f t="shared" si="95"/>
        <v>5147.8341652400022</v>
      </c>
      <c r="Y48" s="3">
        <f t="shared" si="95"/>
        <v>13129.523980110189</v>
      </c>
      <c r="Z48" s="3">
        <f t="shared" si="95"/>
        <v>21794.781582818545</v>
      </c>
      <c r="AA48" s="3">
        <f t="shared" si="95"/>
        <v>31199.383837158828</v>
      </c>
      <c r="AB48" s="3">
        <f t="shared" si="95"/>
        <v>41402.407300033665</v>
      </c>
    </row>
    <row r="49" spans="2:12" x14ac:dyDescent="0.25">
      <c r="B49" s="1" t="s">
        <v>35</v>
      </c>
      <c r="C49" s="3"/>
      <c r="D49" s="3"/>
      <c r="E49" s="3"/>
      <c r="F49" s="3"/>
      <c r="G49" s="3"/>
      <c r="H49" s="3"/>
      <c r="I49" s="3"/>
      <c r="J49" s="3">
        <v>7079</v>
      </c>
      <c r="K49" s="3"/>
      <c r="L49" s="3">
        <v>11287</v>
      </c>
    </row>
    <row r="50" spans="2:12" x14ac:dyDescent="0.25">
      <c r="B50" s="1" t="s">
        <v>36</v>
      </c>
      <c r="C50" s="3"/>
      <c r="D50" s="3"/>
      <c r="E50" s="3"/>
      <c r="F50" s="3"/>
      <c r="G50" s="3"/>
      <c r="H50" s="3"/>
      <c r="I50" s="3"/>
      <c r="J50" s="3">
        <v>17955</v>
      </c>
      <c r="K50" s="3"/>
      <c r="L50" s="3">
        <v>17986</v>
      </c>
    </row>
    <row r="51" spans="2:12" x14ac:dyDescent="0.25">
      <c r="B51" s="1" t="s">
        <v>37</v>
      </c>
      <c r="C51" s="3"/>
      <c r="D51" s="3"/>
      <c r="E51" s="3"/>
      <c r="F51" s="3"/>
      <c r="G51" s="3"/>
      <c r="H51" s="3"/>
      <c r="I51" s="3"/>
      <c r="J51" s="3">
        <v>3402</v>
      </c>
      <c r="K51" s="3"/>
      <c r="L51" s="3">
        <v>3131</v>
      </c>
    </row>
    <row r="52" spans="2:12" x14ac:dyDescent="0.25">
      <c r="B52" s="1" t="s">
        <v>38</v>
      </c>
      <c r="C52" s="3"/>
      <c r="D52" s="3"/>
      <c r="E52" s="3"/>
      <c r="F52" s="3"/>
      <c r="G52" s="3"/>
      <c r="H52" s="3"/>
      <c r="I52" s="3"/>
      <c r="J52" s="3">
        <v>11127</v>
      </c>
      <c r="K52" s="3"/>
      <c r="L52" s="3">
        <v>11244</v>
      </c>
    </row>
    <row r="53" spans="2:12" x14ac:dyDescent="0.25">
      <c r="B53" s="1" t="s">
        <v>39</v>
      </c>
      <c r="C53" s="3"/>
      <c r="D53" s="3"/>
      <c r="E53" s="3"/>
      <c r="F53" s="3"/>
      <c r="G53" s="3"/>
      <c r="H53" s="3"/>
      <c r="I53" s="3"/>
      <c r="J53" s="3">
        <v>3706</v>
      </c>
      <c r="K53" s="3"/>
      <c r="L53" s="3">
        <v>7181</v>
      </c>
    </row>
    <row r="54" spans="2:12" x14ac:dyDescent="0.25">
      <c r="B54" s="1" t="s">
        <v>40</v>
      </c>
      <c r="C54" s="3"/>
      <c r="D54" s="3"/>
      <c r="E54" s="3"/>
      <c r="F54" s="3"/>
      <c r="G54" s="3"/>
      <c r="H54" s="3"/>
      <c r="I54" s="3"/>
      <c r="J54" s="3">
        <v>96647</v>
      </c>
      <c r="K54" s="3"/>
      <c r="L54" s="3">
        <v>103398</v>
      </c>
    </row>
    <row r="55" spans="2:12" x14ac:dyDescent="0.25">
      <c r="B55" s="1" t="s">
        <v>41</v>
      </c>
      <c r="C55" s="3"/>
      <c r="D55" s="3"/>
      <c r="E55" s="3"/>
      <c r="F55" s="3"/>
      <c r="G55" s="3"/>
      <c r="H55" s="3"/>
      <c r="I55" s="3"/>
      <c r="J55" s="3">
        <v>5829</v>
      </c>
      <c r="K55" s="3"/>
      <c r="L55" s="3">
        <v>5824</v>
      </c>
    </row>
    <row r="56" spans="2:12" x14ac:dyDescent="0.25">
      <c r="B56" s="1" t="s">
        <v>42</v>
      </c>
      <c r="C56" s="3"/>
      <c r="D56" s="3"/>
      <c r="E56" s="3"/>
      <c r="F56" s="3"/>
      <c r="G56" s="3"/>
      <c r="H56" s="3"/>
      <c r="I56" s="3"/>
      <c r="J56" s="3">
        <v>27591</v>
      </c>
      <c r="K56" s="3"/>
      <c r="L56" s="3">
        <v>27442</v>
      </c>
    </row>
    <row r="57" spans="2:12" x14ac:dyDescent="0.25">
      <c r="B57" s="1" t="s">
        <v>43</v>
      </c>
      <c r="C57" s="3"/>
      <c r="D57" s="3"/>
      <c r="E57" s="3"/>
      <c r="F57" s="3"/>
      <c r="G57" s="3"/>
      <c r="H57" s="3"/>
      <c r="I57" s="3"/>
      <c r="J57" s="3">
        <v>4589</v>
      </c>
      <c r="K57" s="3"/>
      <c r="L57" s="3">
        <v>4383</v>
      </c>
    </row>
    <row r="58" spans="2:12" x14ac:dyDescent="0.25">
      <c r="B58" s="1" t="s">
        <v>44</v>
      </c>
      <c r="C58" s="3"/>
      <c r="D58" s="3"/>
      <c r="E58" s="3"/>
      <c r="F58" s="3"/>
      <c r="G58" s="3"/>
      <c r="H58" s="3"/>
      <c r="I58" s="3"/>
      <c r="J58" s="3">
        <v>13647</v>
      </c>
      <c r="K58" s="3"/>
      <c r="L58" s="3">
        <v>14329</v>
      </c>
    </row>
    <row r="59" spans="2:12" x14ac:dyDescent="0.25">
      <c r="B59" s="1" t="s">
        <v>45</v>
      </c>
      <c r="C59" s="3"/>
      <c r="D59" s="3"/>
      <c r="E59" s="3"/>
      <c r="F59" s="3"/>
      <c r="G59" s="3"/>
      <c r="H59" s="3"/>
      <c r="I59" s="3"/>
      <c r="J59" s="3">
        <f>+SUM(J49:J58)</f>
        <v>191572</v>
      </c>
      <c r="K59" s="3"/>
      <c r="L59" s="3">
        <f>+SUM(L49:L58)</f>
        <v>206205</v>
      </c>
    </row>
    <row r="60" spans="2:12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x14ac:dyDescent="0.25">
      <c r="B61" s="1" t="s">
        <v>46</v>
      </c>
      <c r="C61" s="3"/>
      <c r="D61" s="3"/>
      <c r="E61" s="3"/>
      <c r="F61" s="3"/>
      <c r="G61" s="3"/>
      <c r="H61" s="3"/>
      <c r="I61" s="3"/>
      <c r="J61" s="3">
        <v>2288</v>
      </c>
      <c r="K61" s="3"/>
      <c r="L61" s="3">
        <v>4695</v>
      </c>
    </row>
    <row r="62" spans="2:12" x14ac:dyDescent="0.25">
      <c r="B62" s="1" t="s">
        <v>47</v>
      </c>
      <c r="C62" s="3"/>
      <c r="D62" s="3"/>
      <c r="E62" s="3"/>
      <c r="F62" s="3"/>
      <c r="G62" s="3"/>
      <c r="H62" s="3"/>
      <c r="I62" s="3"/>
      <c r="J62" s="3">
        <v>8578</v>
      </c>
      <c r="K62" s="3"/>
      <c r="L62" s="3">
        <v>9618</v>
      </c>
    </row>
    <row r="63" spans="2:12" x14ac:dyDescent="0.25">
      <c r="B63" s="1" t="s">
        <v>48</v>
      </c>
      <c r="C63" s="3"/>
      <c r="D63" s="3"/>
      <c r="E63" s="3"/>
      <c r="F63" s="3"/>
      <c r="G63" s="3"/>
      <c r="H63" s="3"/>
      <c r="I63" s="3"/>
      <c r="J63" s="3">
        <v>3655</v>
      </c>
      <c r="K63" s="3"/>
      <c r="L63" s="3">
        <v>2651</v>
      </c>
    </row>
    <row r="64" spans="2:12" x14ac:dyDescent="0.25">
      <c r="B64" s="1" t="s">
        <v>49</v>
      </c>
      <c r="C64" s="3"/>
      <c r="D64" s="3"/>
      <c r="E64" s="3"/>
      <c r="F64" s="3"/>
      <c r="G64" s="3"/>
      <c r="H64" s="3"/>
      <c r="I64" s="3"/>
      <c r="J64" s="3">
        <v>1107</v>
      </c>
      <c r="K64" s="3"/>
      <c r="L64" s="3">
        <v>1856</v>
      </c>
    </row>
    <row r="65" spans="2:21" x14ac:dyDescent="0.25">
      <c r="B65" s="1" t="s">
        <v>50</v>
      </c>
      <c r="C65" s="3"/>
      <c r="D65" s="3"/>
      <c r="E65" s="3"/>
      <c r="F65" s="3"/>
      <c r="G65" s="3"/>
      <c r="H65" s="3"/>
      <c r="I65" s="3"/>
      <c r="J65" s="3">
        <v>12425</v>
      </c>
      <c r="K65" s="3"/>
      <c r="L65" s="3">
        <v>13207</v>
      </c>
    </row>
    <row r="66" spans="2:21" x14ac:dyDescent="0.25">
      <c r="B66" s="1" t="s">
        <v>51</v>
      </c>
      <c r="C66" s="3"/>
      <c r="D66" s="3"/>
      <c r="E66" s="3"/>
      <c r="F66" s="3"/>
      <c r="G66" s="3"/>
      <c r="H66" s="3"/>
      <c r="I66" s="3"/>
      <c r="J66" s="3">
        <v>46978</v>
      </c>
      <c r="K66" s="3"/>
      <c r="L66" s="3">
        <v>48334</v>
      </c>
    </row>
    <row r="67" spans="2:21" x14ac:dyDescent="0.25">
      <c r="B67" s="1" t="s">
        <v>52</v>
      </c>
      <c r="C67" s="3"/>
      <c r="D67" s="3"/>
      <c r="E67" s="3"/>
      <c r="F67" s="3"/>
      <c r="G67" s="3"/>
      <c r="H67" s="3"/>
      <c r="I67" s="3"/>
      <c r="J67" s="3">
        <v>6576</v>
      </c>
      <c r="K67" s="3"/>
      <c r="L67" s="3">
        <v>5410</v>
      </c>
    </row>
    <row r="68" spans="2:21" x14ac:dyDescent="0.25">
      <c r="B68" s="1" t="s">
        <v>53</v>
      </c>
      <c r="C68" s="3"/>
      <c r="D68" s="3"/>
      <c r="E68" s="3"/>
      <c r="F68" s="3"/>
      <c r="G68" s="3"/>
      <c r="H68" s="3"/>
      <c r="I68" s="3"/>
      <c r="J68" s="3">
        <f>+SUM(J61:J67)</f>
        <v>81607</v>
      </c>
      <c r="K68" s="3"/>
      <c r="L68" s="3">
        <f>+SUM(L61:L67)</f>
        <v>85771</v>
      </c>
    </row>
    <row r="69" spans="2:21" x14ac:dyDescent="0.25">
      <c r="B69" s="1" t="s">
        <v>54</v>
      </c>
      <c r="C69" s="3"/>
      <c r="D69" s="3"/>
      <c r="E69" s="3"/>
      <c r="F69" s="3"/>
      <c r="G69" s="3"/>
      <c r="H69" s="3"/>
      <c r="I69" s="3"/>
      <c r="J69" s="3">
        <f>+J59-J68</f>
        <v>109965</v>
      </c>
      <c r="K69" s="3"/>
      <c r="L69" s="3">
        <f>+L59-L68</f>
        <v>120434</v>
      </c>
    </row>
    <row r="70" spans="2:21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2:21" x14ac:dyDescent="0.25">
      <c r="B71" s="1" t="s">
        <v>13</v>
      </c>
      <c r="C71" s="3"/>
      <c r="D71" s="3"/>
      <c r="E71" s="3"/>
      <c r="F71" s="3"/>
      <c r="G71" s="3"/>
      <c r="H71" s="3"/>
      <c r="I71" s="3"/>
      <c r="J71" s="3"/>
      <c r="K71" s="3"/>
      <c r="L71" s="3">
        <v>-2091</v>
      </c>
      <c r="R71" s="3">
        <f t="shared" ref="R71:U71" si="96">+R24</f>
        <v>-21326</v>
      </c>
      <c r="S71" s="3">
        <f t="shared" si="96"/>
        <v>20543</v>
      </c>
      <c r="T71" s="3">
        <f t="shared" si="96"/>
        <v>8017</v>
      </c>
      <c r="U71" s="3">
        <f t="shared" si="96"/>
        <v>1675</v>
      </c>
    </row>
    <row r="72" spans="2:21" x14ac:dyDescent="0.25">
      <c r="B72" s="1" t="s">
        <v>55</v>
      </c>
      <c r="C72" s="3"/>
      <c r="D72" s="3"/>
      <c r="E72" s="3"/>
      <c r="F72" s="3"/>
      <c r="G72" s="3"/>
      <c r="H72" s="3"/>
      <c r="I72" s="3"/>
      <c r="J72" s="3"/>
      <c r="K72" s="3"/>
      <c r="L72" s="3">
        <v>4403</v>
      </c>
      <c r="T72" s="1">
        <v>11128</v>
      </c>
      <c r="U72" s="1">
        <v>7847</v>
      </c>
    </row>
    <row r="73" spans="2:21" x14ac:dyDescent="0.25">
      <c r="B73" s="1" t="s">
        <v>56</v>
      </c>
      <c r="C73" s="3"/>
      <c r="D73" s="3"/>
      <c r="E73" s="3"/>
      <c r="F73" s="3"/>
      <c r="G73" s="3"/>
      <c r="H73" s="3"/>
      <c r="I73" s="3"/>
      <c r="J73" s="3"/>
      <c r="K73" s="3"/>
      <c r="L73" s="3">
        <v>1959</v>
      </c>
      <c r="T73" s="1">
        <v>3128</v>
      </c>
      <c r="U73" s="1">
        <v>3229</v>
      </c>
    </row>
    <row r="74" spans="2:21" x14ac:dyDescent="0.25">
      <c r="B74" s="1" t="s">
        <v>57</v>
      </c>
      <c r="C74" s="3"/>
      <c r="D74" s="3"/>
      <c r="E74" s="3"/>
      <c r="F74" s="3"/>
      <c r="G74" s="3"/>
      <c r="H74" s="3"/>
      <c r="I74" s="3"/>
      <c r="J74" s="3"/>
      <c r="K74" s="3"/>
      <c r="L74" s="3">
        <v>1291</v>
      </c>
      <c r="T74" s="1">
        <v>1074</v>
      </c>
      <c r="U74" s="1">
        <v>-424</v>
      </c>
    </row>
    <row r="75" spans="2:21" x14ac:dyDescent="0.25">
      <c r="B75" s="1" t="s">
        <v>58</v>
      </c>
      <c r="C75" s="3"/>
      <c r="D75" s="3"/>
      <c r="E75" s="3"/>
      <c r="F75" s="3"/>
      <c r="G75" s="3"/>
      <c r="H75" s="3"/>
      <c r="I75" s="3"/>
      <c r="J75" s="3"/>
      <c r="K75" s="3"/>
      <c r="L75" s="3">
        <v>717</v>
      </c>
      <c r="T75" s="1">
        <v>1907</v>
      </c>
      <c r="U75" s="1">
        <v>1755</v>
      </c>
    </row>
    <row r="76" spans="2:21" x14ac:dyDescent="0.25">
      <c r="B76" s="1" t="s">
        <v>59</v>
      </c>
      <c r="C76" s="3"/>
      <c r="D76" s="3"/>
      <c r="E76" s="3"/>
      <c r="F76" s="3"/>
      <c r="G76" s="3"/>
      <c r="H76" s="3"/>
      <c r="I76" s="3"/>
      <c r="J76" s="3"/>
      <c r="K76" s="3"/>
      <c r="L76" s="3">
        <v>-84</v>
      </c>
      <c r="T76" s="1">
        <v>-4254</v>
      </c>
      <c r="U76" s="1">
        <v>-42</v>
      </c>
    </row>
    <row r="77" spans="2:21" x14ac:dyDescent="0.25">
      <c r="B77" s="1" t="s">
        <v>136</v>
      </c>
      <c r="C77" s="3"/>
      <c r="D77" s="3"/>
      <c r="E77" s="3"/>
      <c r="F77" s="3"/>
      <c r="G77" s="3"/>
      <c r="H77" s="3"/>
      <c r="I77" s="3"/>
      <c r="J77" s="3"/>
      <c r="K77" s="3"/>
      <c r="L77" s="3"/>
      <c r="T77" s="1">
        <v>-1059</v>
      </c>
      <c r="U77" s="1">
        <v>0</v>
      </c>
    </row>
    <row r="78" spans="2:21" x14ac:dyDescent="0.25">
      <c r="B78" s="1" t="s">
        <v>37</v>
      </c>
      <c r="C78" s="3"/>
      <c r="D78" s="3"/>
      <c r="E78" s="3"/>
      <c r="F78" s="3"/>
      <c r="G78" s="3"/>
      <c r="H78" s="3"/>
      <c r="I78" s="3"/>
      <c r="J78" s="3"/>
      <c r="K78" s="3"/>
      <c r="L78" s="3">
        <v>272</v>
      </c>
      <c r="T78" s="1">
        <v>5327</v>
      </c>
      <c r="U78" s="1">
        <v>731</v>
      </c>
    </row>
    <row r="79" spans="2:21" x14ac:dyDescent="0.25">
      <c r="B79" s="1" t="s">
        <v>38</v>
      </c>
      <c r="C79" s="3"/>
      <c r="D79" s="3"/>
      <c r="E79" s="3"/>
      <c r="F79" s="3"/>
      <c r="G79" s="3"/>
      <c r="H79" s="3"/>
      <c r="I79" s="3"/>
      <c r="J79" s="3"/>
      <c r="K79" s="3"/>
      <c r="L79" s="3">
        <v>-116</v>
      </c>
      <c r="T79" s="1">
        <v>-2436</v>
      </c>
      <c r="U79" s="1">
        <v>2097</v>
      </c>
    </row>
    <row r="80" spans="2:21" x14ac:dyDescent="0.25">
      <c r="B80" s="1" t="s">
        <v>60</v>
      </c>
      <c r="C80" s="3"/>
      <c r="D80" s="3"/>
      <c r="E80" s="3"/>
      <c r="F80" s="3"/>
      <c r="G80" s="3"/>
      <c r="H80" s="3"/>
      <c r="I80" s="3"/>
      <c r="J80" s="3"/>
      <c r="K80" s="3"/>
      <c r="L80" s="3">
        <v>184</v>
      </c>
      <c r="T80" s="1">
        <v>-29</v>
      </c>
      <c r="U80" s="1">
        <v>-801</v>
      </c>
    </row>
    <row r="81" spans="2:21" x14ac:dyDescent="0.25">
      <c r="B81" s="1" t="s">
        <v>48</v>
      </c>
      <c r="C81" s="3"/>
      <c r="D81" s="3"/>
      <c r="E81" s="3"/>
      <c r="F81" s="3"/>
      <c r="G81" s="3"/>
      <c r="H81" s="3"/>
      <c r="I81" s="3"/>
      <c r="J81" s="3"/>
      <c r="K81" s="3"/>
      <c r="L81" s="3">
        <v>-1309</v>
      </c>
      <c r="T81" s="1">
        <v>-1533</v>
      </c>
      <c r="U81" s="1">
        <v>-614</v>
      </c>
    </row>
    <row r="82" spans="2:21" x14ac:dyDescent="0.25">
      <c r="B82" s="1" t="s">
        <v>137</v>
      </c>
      <c r="C82" s="3"/>
      <c r="D82" s="3"/>
      <c r="E82" s="3"/>
      <c r="F82" s="3"/>
      <c r="G82" s="3"/>
      <c r="H82" s="3"/>
      <c r="I82" s="3"/>
      <c r="J82" s="3"/>
      <c r="K82" s="3"/>
      <c r="L82" s="3"/>
      <c r="T82" s="1">
        <v>-24</v>
      </c>
      <c r="U82" s="1">
        <v>0</v>
      </c>
    </row>
    <row r="83" spans="2:21" x14ac:dyDescent="0.25">
      <c r="B83" s="1" t="s">
        <v>61</v>
      </c>
      <c r="C83" s="3"/>
      <c r="D83" s="3"/>
      <c r="E83" s="3"/>
      <c r="F83" s="3"/>
      <c r="G83" s="3"/>
      <c r="H83" s="3"/>
      <c r="I83" s="3"/>
      <c r="J83" s="3"/>
      <c r="K83" s="3"/>
      <c r="L83" s="3">
        <v>-2174</v>
      </c>
      <c r="T83" s="1">
        <v>-4535</v>
      </c>
      <c r="U83" s="1">
        <v>-3531</v>
      </c>
    </row>
    <row r="84" spans="2:21" x14ac:dyDescent="0.25">
      <c r="B84" s="1" t="s">
        <v>62</v>
      </c>
      <c r="C84" s="3"/>
      <c r="D84" s="3"/>
      <c r="E84" s="3"/>
      <c r="F84" s="3"/>
      <c r="G84" s="3"/>
      <c r="H84" s="3"/>
      <c r="I84" s="3"/>
      <c r="J84" s="3"/>
      <c r="K84" s="3"/>
      <c r="L84" s="3">
        <v>-1983</v>
      </c>
      <c r="T84" s="1">
        <v>-1278</v>
      </c>
      <c r="U84" s="1">
        <v>-451</v>
      </c>
    </row>
    <row r="85" spans="2:21" x14ac:dyDescent="0.25">
      <c r="B85" s="1" t="s">
        <v>63</v>
      </c>
      <c r="C85" s="3"/>
      <c r="D85" s="3"/>
      <c r="E85" s="3"/>
      <c r="F85" s="3"/>
      <c r="G85" s="3"/>
      <c r="H85" s="3"/>
      <c r="I85" s="3"/>
      <c r="J85" s="3"/>
      <c r="K85" s="3"/>
      <c r="L85" s="3">
        <f>+SUM(L71:L84)</f>
        <v>1069</v>
      </c>
      <c r="R85" s="3">
        <f t="shared" ref="R85:U85" si="97">+SUM(R71:R84)</f>
        <v>-21326</v>
      </c>
      <c r="S85" s="3">
        <f t="shared" si="97"/>
        <v>20543</v>
      </c>
      <c r="T85" s="3">
        <f t="shared" si="97"/>
        <v>15433</v>
      </c>
      <c r="U85" s="3">
        <f t="shared" si="97"/>
        <v>11471</v>
      </c>
    </row>
    <row r="86" spans="2:21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2:21" x14ac:dyDescent="0.25">
      <c r="B87" s="1" t="s">
        <v>64</v>
      </c>
      <c r="C87" s="3"/>
      <c r="D87" s="3"/>
      <c r="E87" s="3"/>
      <c r="F87" s="3"/>
      <c r="G87" s="3"/>
      <c r="H87" s="3"/>
      <c r="I87" s="3"/>
      <c r="J87" s="3"/>
      <c r="K87" s="3"/>
      <c r="L87" s="3">
        <v>-11652</v>
      </c>
      <c r="T87" s="1">
        <v>-24844</v>
      </c>
      <c r="U87" s="1">
        <v>-25750</v>
      </c>
    </row>
    <row r="88" spans="2:21" x14ac:dyDescent="0.25">
      <c r="B88" s="1" t="s">
        <v>138</v>
      </c>
      <c r="C88" s="3"/>
      <c r="D88" s="3"/>
      <c r="E88" s="3"/>
      <c r="F88" s="3"/>
      <c r="G88" s="3"/>
      <c r="H88" s="3"/>
      <c r="I88" s="3"/>
      <c r="J88" s="3"/>
      <c r="K88" s="3"/>
      <c r="L88" s="3"/>
      <c r="T88" s="1">
        <v>-206</v>
      </c>
      <c r="U88" s="1">
        <v>0</v>
      </c>
    </row>
    <row r="89" spans="2:21" x14ac:dyDescent="0.25">
      <c r="B89" s="1" t="s">
        <v>65</v>
      </c>
      <c r="C89" s="3"/>
      <c r="D89" s="3"/>
      <c r="E89" s="3"/>
      <c r="F89" s="3"/>
      <c r="G89" s="3"/>
      <c r="H89" s="3"/>
      <c r="I89" s="3"/>
      <c r="J89" s="3"/>
      <c r="K89" s="3"/>
      <c r="L89" s="3">
        <v>699</v>
      </c>
      <c r="T89" s="1">
        <v>246</v>
      </c>
      <c r="U89" s="1">
        <v>1011</v>
      </c>
    </row>
    <row r="90" spans="2:21" x14ac:dyDescent="0.25">
      <c r="B90" s="1" t="s">
        <v>66</v>
      </c>
      <c r="C90" s="3"/>
      <c r="D90" s="3"/>
      <c r="E90" s="3"/>
      <c r="F90" s="3"/>
      <c r="G90" s="3"/>
      <c r="H90" s="3"/>
      <c r="I90" s="3"/>
      <c r="J90" s="3"/>
      <c r="K90" s="3"/>
      <c r="L90" s="3">
        <v>-17634</v>
      </c>
      <c r="T90" s="1">
        <v>-43647</v>
      </c>
      <c r="U90" s="1">
        <v>-44414</v>
      </c>
    </row>
    <row r="91" spans="2:21" x14ac:dyDescent="0.25">
      <c r="B91" s="1" t="s">
        <v>67</v>
      </c>
      <c r="C91" s="3"/>
      <c r="D91" s="3"/>
      <c r="E91" s="3"/>
      <c r="F91" s="3"/>
      <c r="G91" s="3"/>
      <c r="H91" s="3"/>
      <c r="I91" s="3"/>
      <c r="J91" s="3"/>
      <c r="K91" s="3"/>
      <c r="L91" s="3">
        <v>17214</v>
      </c>
      <c r="T91" s="1">
        <v>48730</v>
      </c>
      <c r="U91" s="1">
        <v>44077</v>
      </c>
    </row>
    <row r="92" spans="2:21" x14ac:dyDescent="0.25">
      <c r="B92" s="1" t="s">
        <v>132</v>
      </c>
      <c r="C92" s="3"/>
      <c r="D92" s="3"/>
      <c r="E92" s="3"/>
      <c r="F92" s="3"/>
      <c r="G92" s="3"/>
      <c r="H92" s="3"/>
      <c r="I92" s="3"/>
      <c r="J92" s="3"/>
      <c r="K92" s="3"/>
      <c r="L92" s="3"/>
      <c r="T92" s="1">
        <v>-510</v>
      </c>
      <c r="U92" s="1">
        <v>-399</v>
      </c>
    </row>
    <row r="93" spans="2:21" x14ac:dyDescent="0.25">
      <c r="B93" s="1" t="s">
        <v>133</v>
      </c>
      <c r="C93" s="3"/>
      <c r="D93" s="3"/>
      <c r="E93" s="3"/>
      <c r="F93" s="3"/>
      <c r="G93" s="3"/>
      <c r="H93" s="3"/>
      <c r="I93" s="3"/>
      <c r="J93" s="3"/>
      <c r="K93" s="3"/>
      <c r="L93" s="3"/>
      <c r="T93" s="1">
        <v>4961</v>
      </c>
      <c r="U93" s="1">
        <v>472</v>
      </c>
    </row>
    <row r="94" spans="2:21" x14ac:dyDescent="0.25">
      <c r="B94" s="1" t="s">
        <v>134</v>
      </c>
      <c r="C94" s="3"/>
      <c r="D94" s="3"/>
      <c r="E94" s="3"/>
      <c r="F94" s="3"/>
      <c r="G94" s="3"/>
      <c r="H94" s="3"/>
      <c r="I94" s="3"/>
      <c r="J94" s="3"/>
      <c r="K94" s="3"/>
      <c r="L94" s="3"/>
      <c r="T94" s="1">
        <v>6579</v>
      </c>
      <c r="U94" s="1">
        <v>0</v>
      </c>
    </row>
    <row r="95" spans="2:21" x14ac:dyDescent="0.25">
      <c r="B95" s="1" t="s">
        <v>68</v>
      </c>
      <c r="C95" s="3"/>
      <c r="D95" s="3"/>
      <c r="E95" s="3"/>
      <c r="F95" s="3"/>
      <c r="G95" s="3"/>
      <c r="H95" s="3"/>
      <c r="I95" s="3"/>
      <c r="J95" s="3"/>
      <c r="K95" s="3"/>
      <c r="L95" s="3">
        <v>-355</v>
      </c>
      <c r="M95" s="3"/>
      <c r="N95" s="3"/>
      <c r="O95" s="3"/>
      <c r="P95" s="3"/>
      <c r="Q95" s="3"/>
      <c r="R95" s="3"/>
      <c r="S95" s="3"/>
      <c r="T95" s="3">
        <v>-1540</v>
      </c>
      <c r="U95" s="3">
        <v>962</v>
      </c>
    </row>
    <row r="96" spans="2:21" x14ac:dyDescent="0.25">
      <c r="B96" s="1" t="s">
        <v>69</v>
      </c>
      <c r="C96" s="3"/>
      <c r="D96" s="3"/>
      <c r="E96" s="3"/>
      <c r="F96" s="3"/>
      <c r="G96" s="3"/>
      <c r="H96" s="3"/>
      <c r="I96" s="3"/>
      <c r="J96" s="3"/>
      <c r="K96" s="3"/>
      <c r="L96" s="3">
        <f>+SUM(L87:L95)</f>
        <v>-11728</v>
      </c>
      <c r="M96" s="3"/>
      <c r="N96" s="3"/>
      <c r="O96" s="3"/>
      <c r="P96" s="3"/>
      <c r="Q96" s="3"/>
      <c r="R96" s="3">
        <f>+SUM(R87:R95)</f>
        <v>0</v>
      </c>
      <c r="S96" s="3">
        <f>+SUM(S87:S95)</f>
        <v>0</v>
      </c>
      <c r="T96" s="3">
        <f>+SUM(T87:T95)</f>
        <v>-10231</v>
      </c>
      <c r="U96" s="3">
        <f>+SUM(U87:U95)</f>
        <v>-24041</v>
      </c>
    </row>
    <row r="97" spans="2:21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2:21" x14ac:dyDescent="0.25">
      <c r="B98" s="1" t="s">
        <v>70</v>
      </c>
      <c r="C98" s="3"/>
      <c r="D98" s="3"/>
      <c r="E98" s="3"/>
      <c r="F98" s="3"/>
      <c r="G98" s="3"/>
      <c r="H98" s="3"/>
      <c r="I98" s="3"/>
      <c r="J98" s="3"/>
      <c r="K98" s="3"/>
      <c r="L98" s="3">
        <v>5804</v>
      </c>
      <c r="M98" s="3"/>
      <c r="N98" s="3"/>
      <c r="O98" s="3"/>
      <c r="P98" s="3"/>
      <c r="Q98" s="3"/>
      <c r="R98" s="3"/>
      <c r="S98" s="3"/>
      <c r="T98" s="3">
        <v>3945</v>
      </c>
      <c r="U98" s="3">
        <v>0</v>
      </c>
    </row>
    <row r="99" spans="2:21" x14ac:dyDescent="0.25">
      <c r="B99" s="1" t="s">
        <v>71</v>
      </c>
      <c r="C99" s="3"/>
      <c r="D99" s="3"/>
      <c r="E99" s="3"/>
      <c r="F99" s="3"/>
      <c r="G99" s="3"/>
      <c r="H99" s="3"/>
      <c r="I99" s="3"/>
      <c r="J99" s="3"/>
      <c r="K99" s="3"/>
      <c r="L99" s="3">
        <v>-2609</v>
      </c>
      <c r="M99" s="3"/>
      <c r="N99" s="3"/>
      <c r="O99" s="3"/>
      <c r="P99" s="3"/>
      <c r="Q99" s="3"/>
      <c r="R99" s="3"/>
      <c r="S99" s="3"/>
      <c r="T99" s="3">
        <v>0</v>
      </c>
      <c r="U99" s="3">
        <v>-3944</v>
      </c>
    </row>
    <row r="100" spans="2:21" x14ac:dyDescent="0.25">
      <c r="B100" s="1" t="s">
        <v>72</v>
      </c>
      <c r="C100" s="3"/>
      <c r="D100" s="3"/>
      <c r="E100" s="3"/>
      <c r="F100" s="3"/>
      <c r="G100" s="3"/>
      <c r="H100" s="3"/>
      <c r="I100" s="3"/>
      <c r="J100" s="3"/>
      <c r="K100" s="3"/>
      <c r="L100" s="3">
        <v>0</v>
      </c>
      <c r="M100" s="3"/>
      <c r="N100" s="3"/>
      <c r="O100" s="3"/>
      <c r="P100" s="3"/>
      <c r="Q100" s="3"/>
      <c r="R100" s="3"/>
      <c r="S100" s="3"/>
      <c r="T100" s="3">
        <v>-345</v>
      </c>
      <c r="U100" s="3">
        <v>-96</v>
      </c>
    </row>
    <row r="101" spans="2:21" x14ac:dyDescent="0.25">
      <c r="B101" s="1" t="s">
        <v>73</v>
      </c>
      <c r="C101" s="3"/>
      <c r="D101" s="3"/>
      <c r="E101" s="3"/>
      <c r="F101" s="3"/>
      <c r="G101" s="3"/>
      <c r="H101" s="3"/>
      <c r="I101" s="3"/>
      <c r="J101" s="3"/>
      <c r="K101" s="3"/>
      <c r="L101" s="3">
        <v>11861</v>
      </c>
      <c r="M101" s="3"/>
      <c r="N101" s="3"/>
      <c r="O101" s="3"/>
      <c r="P101" s="3"/>
      <c r="Q101" s="3"/>
      <c r="R101" s="3"/>
      <c r="S101" s="3"/>
      <c r="T101" s="3">
        <v>874</v>
      </c>
      <c r="U101" s="3">
        <v>1511</v>
      </c>
    </row>
    <row r="102" spans="2:21" x14ac:dyDescent="0.25">
      <c r="B102" s="1" t="s">
        <v>74</v>
      </c>
      <c r="C102" s="3"/>
      <c r="D102" s="3"/>
      <c r="E102" s="3"/>
      <c r="F102" s="3"/>
      <c r="G102" s="3"/>
      <c r="H102" s="3"/>
      <c r="I102" s="3"/>
      <c r="J102" s="3"/>
      <c r="K102" s="3"/>
      <c r="L102" s="3">
        <v>0</v>
      </c>
      <c r="M102" s="3"/>
      <c r="N102" s="3"/>
      <c r="O102" s="3"/>
      <c r="P102" s="3"/>
      <c r="Q102" s="3"/>
      <c r="R102" s="3"/>
      <c r="S102" s="3"/>
      <c r="T102" s="3">
        <v>1032</v>
      </c>
      <c r="U102" s="3">
        <v>2959</v>
      </c>
    </row>
    <row r="103" spans="2:21" x14ac:dyDescent="0.25">
      <c r="B103" s="1" t="s">
        <v>75</v>
      </c>
      <c r="C103" s="3"/>
      <c r="D103" s="3"/>
      <c r="E103" s="3"/>
      <c r="F103" s="3"/>
      <c r="G103" s="3"/>
      <c r="H103" s="3"/>
      <c r="I103" s="3"/>
      <c r="J103" s="3"/>
      <c r="K103" s="3"/>
      <c r="L103" s="3">
        <v>2975</v>
      </c>
      <c r="M103" s="3"/>
      <c r="N103" s="3"/>
      <c r="O103" s="3"/>
      <c r="P103" s="3"/>
      <c r="Q103" s="3"/>
      <c r="R103" s="3"/>
      <c r="S103" s="3"/>
      <c r="T103" s="3">
        <v>6548</v>
      </c>
      <c r="U103" s="3">
        <v>11391</v>
      </c>
    </row>
    <row r="104" spans="2:21" x14ac:dyDescent="0.25">
      <c r="B104" s="1" t="s">
        <v>76</v>
      </c>
      <c r="C104" s="3"/>
      <c r="D104" s="3"/>
      <c r="E104" s="3"/>
      <c r="F104" s="3"/>
      <c r="G104" s="3"/>
      <c r="H104" s="3"/>
      <c r="I104" s="3"/>
      <c r="J104" s="3"/>
      <c r="K104" s="3"/>
      <c r="L104" s="3">
        <v>-2288</v>
      </c>
      <c r="M104" s="3"/>
      <c r="N104" s="3"/>
      <c r="O104" s="3"/>
      <c r="P104" s="3"/>
      <c r="Q104" s="3"/>
      <c r="R104" s="3"/>
      <c r="S104" s="3"/>
      <c r="T104" s="3">
        <v>-4984</v>
      </c>
      <c r="U104" s="3">
        <v>-423</v>
      </c>
    </row>
    <row r="105" spans="2:21" x14ac:dyDescent="0.25">
      <c r="B105" s="1" t="s">
        <v>77</v>
      </c>
      <c r="C105" s="3"/>
      <c r="D105" s="3"/>
      <c r="E105" s="3"/>
      <c r="F105" s="3"/>
      <c r="G105" s="3"/>
      <c r="H105" s="3"/>
      <c r="I105" s="3"/>
      <c r="J105" s="3"/>
      <c r="K105" s="3"/>
      <c r="L105" s="3">
        <v>631</v>
      </c>
      <c r="M105" s="3"/>
      <c r="N105" s="3"/>
      <c r="O105" s="3"/>
      <c r="P105" s="3"/>
      <c r="Q105" s="3"/>
      <c r="R105" s="3"/>
      <c r="S105" s="3"/>
      <c r="T105" s="3">
        <v>977</v>
      </c>
      <c r="U105" s="3">
        <v>1042</v>
      </c>
    </row>
    <row r="106" spans="2:21" x14ac:dyDescent="0.25">
      <c r="B106" s="1" t="s">
        <v>78</v>
      </c>
      <c r="C106" s="3"/>
      <c r="D106" s="3"/>
      <c r="E106" s="3"/>
      <c r="F106" s="3"/>
      <c r="G106" s="3"/>
      <c r="H106" s="3"/>
      <c r="I106" s="3"/>
      <c r="J106" s="3"/>
      <c r="K106" s="3"/>
      <c r="L106" s="3">
        <v>-1063</v>
      </c>
      <c r="M106" s="3"/>
      <c r="N106" s="3"/>
      <c r="O106" s="3"/>
      <c r="P106" s="3"/>
      <c r="Q106" s="3"/>
      <c r="R106" s="3"/>
      <c r="S106" s="3"/>
      <c r="T106" s="3">
        <v>-5997</v>
      </c>
      <c r="U106" s="3">
        <v>-3088</v>
      </c>
    </row>
    <row r="107" spans="2:21" x14ac:dyDescent="0.25">
      <c r="B107" s="1" t="s">
        <v>79</v>
      </c>
      <c r="C107" s="3"/>
      <c r="D107" s="3"/>
      <c r="E107" s="3"/>
      <c r="F107" s="3"/>
      <c r="G107" s="3"/>
      <c r="H107" s="3"/>
      <c r="I107" s="3"/>
      <c r="J107" s="3"/>
      <c r="K107" s="3"/>
      <c r="L107" s="3">
        <v>-444</v>
      </c>
      <c r="M107" s="3"/>
      <c r="N107" s="3"/>
      <c r="O107" s="3"/>
      <c r="P107" s="3"/>
      <c r="Q107" s="3"/>
      <c r="R107" s="3"/>
      <c r="S107" s="3"/>
      <c r="T107" s="3">
        <v>-935</v>
      </c>
      <c r="U107" s="3">
        <v>-847</v>
      </c>
    </row>
    <row r="108" spans="2:21" x14ac:dyDescent="0.25">
      <c r="B108" s="1" t="s">
        <v>80</v>
      </c>
      <c r="C108" s="3"/>
      <c r="D108" s="3"/>
      <c r="E108" s="3"/>
      <c r="F108" s="3"/>
      <c r="G108" s="3"/>
      <c r="H108" s="3"/>
      <c r="I108" s="3"/>
      <c r="J108" s="3"/>
      <c r="K108" s="3"/>
      <c r="L108" s="3">
        <f>+SUM(L98:L107)</f>
        <v>14867</v>
      </c>
      <c r="R108" s="3">
        <f>+SUM(R98:R107)</f>
        <v>0</v>
      </c>
      <c r="S108" s="3">
        <f t="shared" ref="S108:U108" si="98">+SUM(S98:S107)</f>
        <v>0</v>
      </c>
      <c r="T108" s="3">
        <f t="shared" si="98"/>
        <v>1115</v>
      </c>
      <c r="U108" s="3">
        <f t="shared" si="98"/>
        <v>8505</v>
      </c>
    </row>
    <row r="109" spans="2:21" x14ac:dyDescent="0.25">
      <c r="B109" s="1" t="s">
        <v>81</v>
      </c>
      <c r="C109" s="3"/>
      <c r="D109" s="3"/>
      <c r="E109" s="3"/>
      <c r="F109" s="3"/>
      <c r="G109" s="3"/>
      <c r="H109" s="3"/>
      <c r="I109" s="3"/>
      <c r="J109" s="3"/>
      <c r="K109" s="3"/>
      <c r="L109" s="3">
        <f>+L85+L96+L108</f>
        <v>4208</v>
      </c>
      <c r="R109" s="3">
        <f>+R85+R96+R108</f>
        <v>-21326</v>
      </c>
      <c r="S109" s="3">
        <f>+S85+S96+S108</f>
        <v>20543</v>
      </c>
      <c r="T109" s="3">
        <f>+T85+T96+T108</f>
        <v>6317</v>
      </c>
      <c r="U109" s="3">
        <f>+U85+U96+U108</f>
        <v>-4065</v>
      </c>
    </row>
    <row r="111" spans="2:21" x14ac:dyDescent="0.25">
      <c r="B111" s="1" t="s">
        <v>135</v>
      </c>
      <c r="T111" s="3">
        <f t="shared" ref="T111" si="99">+T85+T87</f>
        <v>-9411</v>
      </c>
      <c r="U111" s="3">
        <f>+U85+U87</f>
        <v>-14279</v>
      </c>
    </row>
  </sheetData>
  <hyperlinks>
    <hyperlink ref="A1" location="main!A1" display="main" xr:uid="{94FD43BE-DDD2-4C84-86F1-37657158FD71}"/>
  </hyperlink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alexandreduartemorais@gmail.com</dc:creator>
  <cp:lastModifiedBy>Alexandre Duarte Morais</cp:lastModifiedBy>
  <dcterms:created xsi:type="dcterms:W3CDTF">2024-08-25T10:14:07Z</dcterms:created>
  <dcterms:modified xsi:type="dcterms:W3CDTF">2024-12-11T00:32:29Z</dcterms:modified>
</cp:coreProperties>
</file>