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92" documentId="8_{68EEEE89-2A98-48B1-A9EF-B3B4C076CDBA}" xr6:coauthVersionLast="47" xr6:coauthVersionMax="47" xr10:uidLastSave="{2247E67E-B530-401A-8131-AB1DD646B753}"/>
  <bookViews>
    <workbookView xWindow="11424" yWindow="0" windowWidth="11712" windowHeight="12336" activeTab="1" xr2:uid="{D4E065FE-7C9A-4FDD-8974-6F746B64E816}"/>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1" i="2" l="1"/>
  <c r="R26" i="2"/>
  <c r="G73" i="2"/>
  <c r="K73" i="2"/>
  <c r="O73" i="2"/>
  <c r="G32" i="2"/>
  <c r="G31" i="2"/>
  <c r="G30" i="2"/>
  <c r="G29" i="2"/>
  <c r="G28" i="2"/>
  <c r="K32" i="2"/>
  <c r="K31" i="2"/>
  <c r="K30" i="2"/>
  <c r="K29" i="2"/>
  <c r="K28" i="2"/>
  <c r="K26" i="2"/>
  <c r="K25" i="2"/>
  <c r="K24" i="2"/>
  <c r="G22" i="2"/>
  <c r="K22" i="2"/>
  <c r="G20" i="2"/>
  <c r="K20" i="2"/>
  <c r="K18" i="2"/>
  <c r="G18" i="2"/>
  <c r="G12" i="2"/>
  <c r="G14" i="2" s="1"/>
  <c r="G15" i="2" s="1"/>
  <c r="K14" i="2"/>
  <c r="K15" i="2" s="1"/>
  <c r="K12" i="2"/>
  <c r="G8" i="2"/>
  <c r="K8" i="2"/>
  <c r="G5" i="2"/>
  <c r="K5" i="2"/>
  <c r="P69" i="2"/>
  <c r="O69" i="2"/>
  <c r="Q69" i="2"/>
  <c r="P55" i="2"/>
  <c r="O55" i="2"/>
  <c r="Q55" i="2"/>
  <c r="Q42" i="2"/>
  <c r="Q35" i="2"/>
  <c r="P12" i="2"/>
  <c r="P14" i="2" s="1"/>
  <c r="P42" i="2"/>
  <c r="P35" i="2"/>
  <c r="O42" i="2"/>
  <c r="O35" i="2"/>
  <c r="Q29" i="2"/>
  <c r="P29" i="2"/>
  <c r="O29" i="2"/>
  <c r="P28" i="2"/>
  <c r="O28" i="2"/>
  <c r="Q28" i="2"/>
  <c r="Q25" i="2"/>
  <c r="P25" i="2"/>
  <c r="P24" i="2"/>
  <c r="Q24" i="2"/>
  <c r="Q12" i="2"/>
  <c r="Q14" i="2" s="1"/>
  <c r="O12" i="2"/>
  <c r="O14" i="2" s="1"/>
  <c r="Y14" i="2"/>
  <c r="X14" i="2"/>
  <c r="W14" i="2"/>
  <c r="V14" i="2"/>
  <c r="U14" i="2"/>
  <c r="T14" i="2"/>
  <c r="S14" i="2"/>
  <c r="R14" i="2"/>
  <c r="Y5" i="2"/>
  <c r="Y8" i="2" s="1"/>
  <c r="X5" i="2"/>
  <c r="X8" i="2" s="1"/>
  <c r="W5" i="2"/>
  <c r="W8" i="2" s="1"/>
  <c r="V5" i="2"/>
  <c r="V8" i="2" s="1"/>
  <c r="U5" i="2"/>
  <c r="U8" i="2" s="1"/>
  <c r="T5" i="2"/>
  <c r="T8" i="2" s="1"/>
  <c r="S5" i="2"/>
  <c r="S8" i="2" s="1"/>
  <c r="R8" i="2"/>
  <c r="R18" i="2" s="1"/>
  <c r="R20" i="2" s="1"/>
  <c r="Q5" i="2"/>
  <c r="Q8" i="2" s="1"/>
  <c r="Q30" i="2" s="1"/>
  <c r="P5" i="2"/>
  <c r="P8" i="2" s="1"/>
  <c r="P30" i="2" s="1"/>
  <c r="O5" i="2"/>
  <c r="O8" i="2" s="1"/>
  <c r="O30" i="2" s="1"/>
  <c r="P1" i="2"/>
  <c r="Q1" i="2" s="1"/>
  <c r="R1" i="2" s="1"/>
  <c r="S1" i="2" s="1"/>
  <c r="T1" i="2" s="1"/>
  <c r="U1" i="2" s="1"/>
  <c r="V1" i="2" s="1"/>
  <c r="W1" i="2" s="1"/>
  <c r="X1" i="2" s="1"/>
  <c r="Y1" i="2" s="1"/>
  <c r="L7" i="1"/>
  <c r="L6" i="1"/>
  <c r="L3" i="1" a="1"/>
  <c r="L3" i="1" s="1"/>
  <c r="L5" i="1" s="1"/>
  <c r="L8" i="1" s="1"/>
  <c r="L10" i="1" s="1"/>
  <c r="S15" i="2" l="1"/>
  <c r="S18" i="2" s="1"/>
  <c r="S20" i="2" s="1"/>
  <c r="T15" i="2"/>
  <c r="T18" i="2" s="1"/>
  <c r="T20" i="2" s="1"/>
  <c r="X15" i="2"/>
  <c r="X18" i="2" s="1"/>
  <c r="X20" i="2" s="1"/>
  <c r="V15" i="2"/>
  <c r="V18" i="2" s="1"/>
  <c r="V20" i="2" s="1"/>
  <c r="W15" i="2"/>
  <c r="W18" i="2" s="1"/>
  <c r="W20" i="2" s="1"/>
  <c r="Y15" i="2"/>
  <c r="Y18" i="2" s="1"/>
  <c r="Y20" i="2" s="1"/>
  <c r="Q26" i="2"/>
  <c r="U15" i="2"/>
  <c r="U18" i="2" s="1"/>
  <c r="U20" i="2" s="1"/>
  <c r="P26" i="2"/>
  <c r="Q15" i="2"/>
  <c r="P15" i="2"/>
  <c r="O15" i="2"/>
  <c r="Q18" i="2" l="1"/>
  <c r="Q20" i="2" s="1"/>
  <c r="Q31" i="2"/>
  <c r="O18" i="2"/>
  <c r="O20" i="2" s="1"/>
  <c r="O31" i="2"/>
  <c r="P18" i="2"/>
  <c r="P20" i="2" s="1"/>
  <c r="P31" i="2"/>
  <c r="O32" i="2" l="1"/>
  <c r="O22" i="2"/>
  <c r="O34" i="2"/>
  <c r="O43" i="2" s="1"/>
  <c r="Q32" i="2"/>
  <c r="Q22" i="2"/>
  <c r="Q34" i="2"/>
  <c r="Q43" i="2" s="1"/>
  <c r="P34" i="2"/>
  <c r="P43" i="2" s="1"/>
  <c r="P32" i="2"/>
  <c r="P22" i="2"/>
  <c r="P73" i="2" l="1"/>
  <c r="P71" i="2"/>
  <c r="Q73" i="2"/>
  <c r="Q71" i="2"/>
  <c r="O7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<sst xmlns="http://schemas.openxmlformats.org/spreadsheetml/2006/main" count="87" uniqueCount="80">
  <si>
    <t>ticket</t>
  </si>
  <si>
    <t>price</t>
  </si>
  <si>
    <t>shares</t>
  </si>
  <si>
    <t>mc</t>
  </si>
  <si>
    <t>cash</t>
  </si>
  <si>
    <t>debt</t>
  </si>
  <si>
    <t>ev</t>
  </si>
  <si>
    <t>main</t>
  </si>
  <si>
    <t>Service</t>
  </si>
  <si>
    <t>Products</t>
  </si>
  <si>
    <t>Revenue</t>
  </si>
  <si>
    <t>COGS Service</t>
  </si>
  <si>
    <t>COGS Product</t>
  </si>
  <si>
    <t>Gross Profit</t>
  </si>
  <si>
    <t>S&amp;M</t>
  </si>
  <si>
    <t>R&amp;D</t>
  </si>
  <si>
    <t>G&amp;A</t>
  </si>
  <si>
    <t xml:space="preserve">Amortization </t>
  </si>
  <si>
    <t>Restructuring</t>
  </si>
  <si>
    <t>Total Opex</t>
  </si>
  <si>
    <t>Operating Income</t>
  </si>
  <si>
    <t>Net Interest</t>
  </si>
  <si>
    <t>Other income</t>
  </si>
  <si>
    <t>Pretax income</t>
  </si>
  <si>
    <t>Taxes</t>
  </si>
  <si>
    <t>Net Income</t>
  </si>
  <si>
    <t>Shares</t>
  </si>
  <si>
    <t>EPS</t>
  </si>
  <si>
    <t>Revenue y/y</t>
  </si>
  <si>
    <t>Gross Margin</t>
  </si>
  <si>
    <t>Operating Margin</t>
  </si>
  <si>
    <t>Net Margin</t>
  </si>
  <si>
    <t>D&amp;A</t>
  </si>
  <si>
    <t>Non-cash operating lease cost</t>
  </si>
  <si>
    <t>SBC</t>
  </si>
  <si>
    <t>Deferred income taxes</t>
  </si>
  <si>
    <t>Other</t>
  </si>
  <si>
    <t>urchases of loans held for sale</t>
  </si>
  <si>
    <t>principal repayments of loans held for sale</t>
  </si>
  <si>
    <t>CIOAL</t>
  </si>
  <si>
    <t>CFFO</t>
  </si>
  <si>
    <t>Sales of fund investments</t>
  </si>
  <si>
    <t>Maturities of fund investments</t>
  </si>
  <si>
    <t>Purchase of PPE</t>
  </si>
  <si>
    <t>Capitalization of internal use software</t>
  </si>
  <si>
    <t>Acquisitions</t>
  </si>
  <si>
    <t>Purchases of loans held for investments</t>
  </si>
  <si>
    <t>Sales of loans held for investment</t>
  </si>
  <si>
    <t>repayments of loans HFI</t>
  </si>
  <si>
    <t xml:space="preserve">Other </t>
  </si>
  <si>
    <t>CFFI</t>
  </si>
  <si>
    <t>Purchases of fund investments</t>
  </si>
  <si>
    <t>issuance of long-term debt</t>
  </si>
  <si>
    <t>Repayments of debt</t>
  </si>
  <si>
    <t>Proceeds from borrowings under unsecured revolving credit facility</t>
  </si>
  <si>
    <t>Repayments on borrowings under secured revolving credit facilities</t>
  </si>
  <si>
    <t xml:space="preserve"> issuance of stock under employee stock plans</t>
  </si>
  <si>
    <t>Payments for employee taxes withheld</t>
  </si>
  <si>
    <t>purchases of treasury stock</t>
  </si>
  <si>
    <t>Dividends</t>
  </si>
  <si>
    <t xml:space="preserve">Net change in funds receivable and funds payable </t>
  </si>
  <si>
    <t>CFFF</t>
  </si>
  <si>
    <t>Proceeds from borrowings under secured revolving credit facilities</t>
  </si>
  <si>
    <t>FX</t>
  </si>
  <si>
    <t>Net Change in cash</t>
  </si>
  <si>
    <t>FCF</t>
  </si>
  <si>
    <t>EV/FCF</t>
  </si>
  <si>
    <t>Intuit helps consumers and small and mid-market businesses prosper by delivering financial management, compliance, and marketing products and services</t>
  </si>
  <si>
    <t>specialized tax products to accounting professionals</t>
  </si>
  <si>
    <t>Q1 2023</t>
  </si>
  <si>
    <t>Q2 2023</t>
  </si>
  <si>
    <t>Q3 2023</t>
  </si>
  <si>
    <t>Q4 2023</t>
  </si>
  <si>
    <t>Q1 2024</t>
  </si>
  <si>
    <t>Q2 2024</t>
  </si>
  <si>
    <t>Q3 2024</t>
  </si>
  <si>
    <t>Q4 2024</t>
  </si>
  <si>
    <t>Q1 2025</t>
  </si>
  <si>
    <t>Q2 2025</t>
  </si>
  <si>
    <t>Q3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</si>
</sst>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_([$$-409]* #,##0.00_);_([$$-409]* \(#,##0.00\);_([$$-409]* &quot;-&quot;??_);_(@_)"/>
    <numFmt numFmtId="165" formatCode="[$$-409]#,##0.00"/>
    <numFmt numFmtId="166" formatCode="0.0%"/>
    <numFmt numFmtId="167" formatCode="0.0\x"/>
  </numFmts>
  <fonts count="5"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xf numFmtId="0" fontId="4" fillId="0" borderId="0" xfId="1" applyFont="1"/>
    <xf numFmtId="3" fontId="2" fillId="0" borderId="0" xfId="0" applyNumberFormat="1" applyFont="1"/>
    <xf numFmtId="165" fontId="1" fillId="0" borderId="0" xfId="0" applyNumberFormat="1" applyFont="1"/>
    <xf numFmtId="166" fontId="1" fillId="0" borderId="0" xfId="0" applyNumberFormat="1" applyFont="1"/>
    <xf numFmtId="166" fontId="2" fillId="0" borderId="0" xfId="0" applyNumberFormat="1" applyFont="1"/>
    <xf numFmtId="167" fontId="1" fillId="0" borderId="0" xfId="0" applyNumberFormat="1" applyFont="1"/>
    <xf numFmtId="9" fontId="1" fillId="0" borderId="0" xfId="0" applyNumberFormat="1" applyFont="1"/>
    <xf numFmtId="8" fontId="1" fillId="0" borderId="0" xfId="0" applyNumberFormat="1" applyFont="1"/>
    <xf numFmtId="9"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16</xdr:col>
      <xdr:colOff>618067</xdr:colOff>
      <xdr:row>0</xdr:row>
      <xdr:rowOff>25400</xdr:rowOff>
    </xdr:from>
    <xdr:to>
      <xdr:col>17</xdr:col>
      <xdr:colOff>0</xdr:colOff>
      <xdr:row>77</xdr:row>
      <xdr:rowOff>50800</xdr:rowOff>
    </xdr:to>
    <xdr:cxnSp macro="">
      <xdr:nvCxnSpPr>
        <xdr:cNvPr id="3" name="Straight Connector 2">
          <a:extLst>
            <a:ext uri="{FF2B5EF4-FFF2-40B4-BE49-F238E27FC236}">
              <a16:creationId xmlns:a16="http://schemas.microsoft.com/office/drawing/2014/main" id="{F8201AE4-B29D-64AC-E6CF-9E63AE129F25}"/>
            </a:ext>
          </a:extLst>
        </xdr:cNvPr>
        <xdr:cNvCxnSpPr/>
      </xdr:nvCxnSpPr>
      <xdr:spPr>
        <a:xfrm>
          <a:off x="12242800" y="25400"/>
          <a:ext cx="8467" cy="1306406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8466</xdr:colOff>
      <xdr:row>0</xdr:row>
      <xdr:rowOff>25400</xdr:rowOff>
    </xdr:from>
    <xdr:to>
      <xdr:col>11</xdr:col>
      <xdr:colOff>25400</xdr:colOff>
      <xdr:row>80</xdr:row>
      <xdr:rowOff>25400</xdr:rowOff>
    </xdr:to>
    <xdr:cxnSp macro="">
      <xdr:nvCxnSpPr>
        <xdr:cNvPr id="8" name="Straight Connector 7">
          <a:extLst>
            <a:ext uri="{FF2B5EF4-FFF2-40B4-BE49-F238E27FC236}">
              <a16:creationId xmlns:a16="http://schemas.microsoft.com/office/drawing/2014/main" id="{8D6226CE-C63A-0AEF-8B4D-A491C997658C}"/>
            </a:ext>
          </a:extLst>
        </xdr:cNvPr>
        <xdr:cNvCxnSpPr/>
      </xdr:nvCxnSpPr>
      <xdr:spPr>
        <a:xfrm>
          <a:off x="8500533" y="25400"/>
          <a:ext cx="16934" cy="1354666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https://www.bing.com/financeapi/forcetrigger?t=a1vmtc&amp;q=XNAS%3aINTU&amp;form=skydnc</v>
    <v>Learn more on Bing</v>
  </rv>
  <rv s="1">
    <v>en-GB</v>
    <v>a1vmtc</v>
    <v>268435456</v>
    <v>1</v>
    <v>Powered by Refinitiv</v>
    <v>0</v>
    <v>INTUIT INC. (XNAS:INTU)</v>
    <v>2</v>
    <v>3</v>
    <v>Finance</v>
    <v>4</v>
    <v>714.78</v>
    <v>557.29</v>
    <v>1.2827</v>
    <v>-13.61</v>
    <v>-2.5119999999999999E-3</v>
    <v>-2.3503E-2</v>
    <v>-1.4202999999999999</v>
    <v>USD</v>
    <v>Intuit Inc. offers financial technology platform that helps consumers and small and mid-market businesses prosper by delivering financial management, compliance, and marketing products and services. It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18800</v>
    <v>Nasdaq Stock Market</v>
    <v>XNAS</v>
    <v>XNAS</v>
    <v>2700 Coast Avenue, MOUNTAIN VIEW, CA, 94043 US</v>
    <v>582.15</v>
    <v>Financial Technology (Fintech) &amp; Infrastructure</v>
    <v>Stock</v>
    <v>45710.037700566405</v>
    <v>0</v>
    <v>561.25</v>
    <v>158284552896</v>
    <v>INTUIT INC.</v>
    <v>INTUIT INC.</v>
    <v>580.54999999999995</v>
    <v>55.970100000000002</v>
    <v>579.08000000000004</v>
    <v>565.47</v>
    <v>564.04970000000003</v>
    <v>279916800</v>
    <v>INTU</v>
    <v>INTUIT INC. (XNAS:INTU)</v>
    <v>2006637</v>
    <v>1865552</v>
    <v>1993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242A-24B3-4E3C-A0F3-7BF956C151F8}">
  <dimension ref="D2:L14"/>
  <sheetViews>
    <sheetView topLeftCell="D1" workbookViewId="0">
      <selection activeCell="L10" sqref="L10"/>
    </sheetView>
  </sheetViews>
  <sheetFormatPr defaultColWidth="9.109375" defaultRowHeight="13.2" x14ac:dyDescent="0.25"/>
  <cols>
    <col min="1" max="16384" width="9.109375" style="1"/>
  </cols>
  <sheetData>
    <row r="2" spans="4:12" x14ac:dyDescent="0.25">
      <c r="K2" s="4" t="s">
        <v>0</v>
      </c>
      <c r="L2" s="1" t="e" vm="1">
        <v>#VALUE!</v>
      </c>
    </row>
    <row r="3" spans="4:12" x14ac:dyDescent="0.25">
      <c r="K3" s="4" t="s">
        <v>1</v>
      </c>
      <c r="L3" s="2" cm="1">
        <f t="array" aca="1" ref="L3" ca="1">+_FV(L2,"Price")</f>
        <v>565.47</v>
      </c>
    </row>
    <row r="4" spans="4:12" x14ac:dyDescent="0.25">
      <c r="K4" s="4" t="s">
        <v>2</v>
      </c>
      <c r="L4" s="1">
        <v>284</v>
      </c>
    </row>
    <row r="5" spans="4:12" x14ac:dyDescent="0.25">
      <c r="K5" s="4" t="s">
        <v>3</v>
      </c>
      <c r="L5" s="3">
        <f ca="1">+L3*L4</f>
        <v>160593.48000000001</v>
      </c>
    </row>
    <row r="6" spans="4:12" x14ac:dyDescent="0.25">
      <c r="K6" s="4" t="s">
        <v>4</v>
      </c>
      <c r="L6" s="3">
        <f>3609+465+779+3+131</f>
        <v>4987</v>
      </c>
    </row>
    <row r="7" spans="4:12" x14ac:dyDescent="0.25">
      <c r="K7" s="4" t="s">
        <v>5</v>
      </c>
      <c r="L7" s="3">
        <f>499+5539</f>
        <v>6038</v>
      </c>
    </row>
    <row r="8" spans="4:12" x14ac:dyDescent="0.25">
      <c r="K8" s="4" t="s">
        <v>6</v>
      </c>
      <c r="L8" s="3">
        <f ca="1">+L5-L6+L7</f>
        <v>161644.48000000001</v>
      </c>
    </row>
    <row r="10" spans="4:12" x14ac:dyDescent="0.25">
      <c r="K10" s="1" t="s">
        <v>66</v>
      </c>
      <c r="L10" s="10">
        <f ca="1">+L8/model!Q73</f>
        <v>34.882278808804493</v>
      </c>
    </row>
    <row r="13" spans="4:12" x14ac:dyDescent="0.25">
      <c r="D13" s="1" t="s">
        <v>67</v>
      </c>
    </row>
    <row r="14" spans="4:12" x14ac:dyDescent="0.25">
      <c r="D14" s="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02DED-52A9-4656-89A9-2D20C7C1646B}">
  <dimension ref="A1:Y73"/>
  <sheetViews>
    <sheetView tabSelected="1" zoomScale="90" zoomScaleNormal="90" workbookViewId="0">
      <pane xSplit="2" ySplit="1" topLeftCell="M2" activePane="bottomRight" state="frozen"/>
      <selection pane="topRight" activeCell="B1" sqref="B1"/>
      <selection pane="bottomLeft" activeCell="A2" sqref="A2"/>
      <selection pane="bottomRight" activeCell="S12" sqref="S12"/>
    </sheetView>
  </sheetViews>
  <sheetFormatPr defaultColWidth="9.109375" defaultRowHeight="13.2" x14ac:dyDescent="0.25"/>
  <cols>
    <col min="1" max="1" width="5" style="1" bestFit="1" customWidth="1"/>
    <col min="2" max="2" width="36.5546875" style="1" bestFit="1" customWidth="1"/>
    <col min="3" max="16384" width="9.109375" style="1"/>
  </cols>
  <sheetData>
    <row r="1" spans="1:25" x14ac:dyDescent="0.25">
      <c r="A1" s="5" t="s">
        <v>7</v>
      </c>
      <c r="C1" s="4" t="s">
        <v>69</v>
      </c>
      <c r="D1" s="4" t="s">
        <v>70</v>
      </c>
      <c r="E1" s="4" t="s">
        <v>71</v>
      </c>
      <c r="F1" s="4" t="s">
        <v>72</v>
      </c>
      <c r="G1" s="4" t="s">
        <v>73</v>
      </c>
      <c r="H1" s="4" t="s">
        <v>74</v>
      </c>
      <c r="I1" s="4" t="s">
        <v>75</v>
      </c>
      <c r="J1" s="4" t="s">
        <v>76</v>
      </c>
      <c r="K1" s="4" t="s">
        <v>77</v>
      </c>
      <c r="L1" s="4" t="s">
        <v>78</v>
      </c>
      <c r="M1" s="4" t="s">
        <v>79</v>
      </c>
      <c r="O1" s="4">
        <v>2022</v>
      </c>
      <c r="P1" s="4">
        <f>+O1+1</f>
        <v>2023</v>
      </c>
      <c r="Q1" s="4">
        <f t="shared" ref="Q1:Y1" si="0">+P1+1</f>
        <v>2024</v>
      </c>
      <c r="R1" s="4">
        <f t="shared" si="0"/>
        <v>2025</v>
      </c>
      <c r="S1" s="4">
        <f t="shared" si="0"/>
        <v>2026</v>
      </c>
      <c r="T1" s="4">
        <f t="shared" si="0"/>
        <v>2027</v>
      </c>
      <c r="U1" s="4">
        <f t="shared" si="0"/>
        <v>2028</v>
      </c>
      <c r="V1" s="4">
        <f t="shared" si="0"/>
        <v>2029</v>
      </c>
      <c r="W1" s="4">
        <f t="shared" si="0"/>
        <v>2030</v>
      </c>
      <c r="X1" s="4">
        <f t="shared" si="0"/>
        <v>2031</v>
      </c>
      <c r="Y1" s="4">
        <f t="shared" si="0"/>
        <v>2032</v>
      </c>
    </row>
    <row r="2" spans="1:25" x14ac:dyDescent="0.25">
      <c r="B2" s="1" t="s">
        <v>8</v>
      </c>
      <c r="C2" s="3"/>
      <c r="D2" s="3"/>
      <c r="E2" s="3"/>
      <c r="F2" s="3"/>
      <c r="G2" s="3">
        <v>2450</v>
      </c>
      <c r="H2" s="3"/>
      <c r="I2" s="3"/>
      <c r="J2" s="3"/>
      <c r="K2" s="3">
        <v>2889</v>
      </c>
      <c r="L2" s="3"/>
      <c r="M2" s="3"/>
      <c r="O2" s="3">
        <v>10914</v>
      </c>
      <c r="P2" s="3">
        <v>12317</v>
      </c>
      <c r="Q2" s="3">
        <v>13861</v>
      </c>
      <c r="R2" s="3"/>
      <c r="S2" s="3"/>
      <c r="T2" s="3"/>
      <c r="U2" s="3"/>
      <c r="V2" s="3"/>
      <c r="W2" s="3"/>
      <c r="X2" s="3"/>
      <c r="Y2" s="3"/>
    </row>
    <row r="3" spans="1:25" x14ac:dyDescent="0.25">
      <c r="B3" s="1" t="s">
        <v>9</v>
      </c>
      <c r="C3" s="3"/>
      <c r="D3" s="3"/>
      <c r="E3" s="3"/>
      <c r="F3" s="3"/>
      <c r="G3" s="3">
        <v>528</v>
      </c>
      <c r="H3" s="3"/>
      <c r="I3" s="3"/>
      <c r="J3" s="3"/>
      <c r="K3" s="3">
        <v>394</v>
      </c>
      <c r="L3" s="3"/>
      <c r="M3" s="3"/>
      <c r="O3" s="3">
        <v>1812</v>
      </c>
      <c r="P3" s="3">
        <v>2051</v>
      </c>
      <c r="Q3" s="3">
        <v>2424</v>
      </c>
      <c r="R3" s="3"/>
      <c r="S3" s="3"/>
      <c r="T3" s="3"/>
      <c r="U3" s="3"/>
      <c r="V3" s="3"/>
      <c r="W3" s="3"/>
      <c r="X3" s="3"/>
      <c r="Y3" s="3"/>
    </row>
    <row r="4" spans="1:25" x14ac:dyDescent="0.25">
      <c r="C4" s="3"/>
      <c r="D4" s="3"/>
      <c r="E4" s="3"/>
      <c r="F4" s="3"/>
      <c r="G4" s="3"/>
      <c r="H4" s="3"/>
      <c r="I4" s="3"/>
      <c r="J4" s="3"/>
      <c r="K4" s="3"/>
      <c r="L4" s="3"/>
      <c r="M4" s="3"/>
      <c r="O4" s="3"/>
      <c r="P4" s="3"/>
      <c r="Q4" s="3"/>
      <c r="R4" s="3"/>
      <c r="S4" s="3"/>
      <c r="T4" s="3"/>
      <c r="U4" s="3"/>
      <c r="V4" s="3"/>
      <c r="W4" s="3"/>
      <c r="X4" s="3"/>
      <c r="Y4" s="3"/>
    </row>
    <row r="5" spans="1:25" s="4" customFormat="1" x14ac:dyDescent="0.25">
      <c r="B5" s="4" t="s">
        <v>10</v>
      </c>
      <c r="C5" s="6"/>
      <c r="D5" s="6"/>
      <c r="E5" s="6"/>
      <c r="F5" s="6"/>
      <c r="G5" s="6">
        <f>+G2+G3</f>
        <v>2978</v>
      </c>
      <c r="H5" s="6"/>
      <c r="I5" s="6"/>
      <c r="J5" s="6"/>
      <c r="K5" s="6">
        <f>+K2+K3</f>
        <v>3283</v>
      </c>
      <c r="L5" s="6">
        <v>3830</v>
      </c>
      <c r="M5" s="6"/>
      <c r="O5" s="6">
        <f>+SUM(O2:O3)</f>
        <v>12726</v>
      </c>
      <c r="P5" s="6">
        <f t="shared" ref="P5:Y5" si="1">+SUM(P2:P3)</f>
        <v>14368</v>
      </c>
      <c r="Q5" s="6">
        <f t="shared" si="1"/>
        <v>16285</v>
      </c>
      <c r="R5" s="6">
        <v>18250</v>
      </c>
      <c r="S5" s="6">
        <f t="shared" si="1"/>
        <v>0</v>
      </c>
      <c r="T5" s="6">
        <f t="shared" si="1"/>
        <v>0</v>
      </c>
      <c r="U5" s="6">
        <f t="shared" si="1"/>
        <v>0</v>
      </c>
      <c r="V5" s="6">
        <f t="shared" si="1"/>
        <v>0</v>
      </c>
      <c r="W5" s="6">
        <f t="shared" si="1"/>
        <v>0</v>
      </c>
      <c r="X5" s="6">
        <f t="shared" si="1"/>
        <v>0</v>
      </c>
      <c r="Y5" s="6">
        <f t="shared" si="1"/>
        <v>0</v>
      </c>
    </row>
    <row r="6" spans="1:25" x14ac:dyDescent="0.25">
      <c r="B6" s="1" t="s">
        <v>11</v>
      </c>
      <c r="C6" s="3"/>
      <c r="D6" s="3"/>
      <c r="E6" s="3"/>
      <c r="F6" s="3"/>
      <c r="G6" s="3">
        <v>707</v>
      </c>
      <c r="H6" s="3"/>
      <c r="I6" s="3"/>
      <c r="J6" s="3"/>
      <c r="K6" s="3">
        <v>772</v>
      </c>
      <c r="L6" s="3"/>
      <c r="M6" s="3"/>
      <c r="O6" s="3">
        <v>2196</v>
      </c>
      <c r="P6" s="3">
        <v>2908</v>
      </c>
      <c r="Q6" s="3">
        <v>3250</v>
      </c>
      <c r="R6" s="3"/>
      <c r="S6" s="3"/>
      <c r="T6" s="3"/>
      <c r="U6" s="3"/>
      <c r="V6" s="3"/>
      <c r="W6" s="3"/>
      <c r="X6" s="3"/>
      <c r="Y6" s="3"/>
    </row>
    <row r="7" spans="1:25" x14ac:dyDescent="0.25">
      <c r="B7" s="1" t="s">
        <v>12</v>
      </c>
      <c r="C7" s="3"/>
      <c r="D7" s="3"/>
      <c r="E7" s="3"/>
      <c r="F7" s="3"/>
      <c r="G7" s="3">
        <v>15</v>
      </c>
      <c r="H7" s="3"/>
      <c r="I7" s="3"/>
      <c r="J7" s="3"/>
      <c r="K7" s="3">
        <v>14</v>
      </c>
      <c r="L7" s="3"/>
      <c r="M7" s="3"/>
      <c r="O7" s="3">
        <v>70</v>
      </c>
      <c r="P7" s="3">
        <v>72</v>
      </c>
      <c r="Q7" s="3">
        <v>69</v>
      </c>
      <c r="R7" s="3"/>
      <c r="S7" s="3"/>
      <c r="T7" s="3"/>
      <c r="U7" s="3"/>
      <c r="V7" s="3"/>
      <c r="W7" s="3"/>
      <c r="X7" s="3"/>
      <c r="Y7" s="3"/>
    </row>
    <row r="8" spans="1:25" x14ac:dyDescent="0.25">
      <c r="B8" s="1" t="s">
        <v>13</v>
      </c>
      <c r="C8" s="3"/>
      <c r="D8" s="3"/>
      <c r="E8" s="3"/>
      <c r="F8" s="3"/>
      <c r="G8" s="3">
        <f>+G5-G6-G7</f>
        <v>2256</v>
      </c>
      <c r="H8" s="3"/>
      <c r="I8" s="3"/>
      <c r="J8" s="3"/>
      <c r="K8" s="3">
        <f>+K5-K6-K7</f>
        <v>2497</v>
      </c>
      <c r="L8" s="3"/>
      <c r="M8" s="3"/>
      <c r="O8" s="3">
        <f>+O5-O6-O7</f>
        <v>10460</v>
      </c>
      <c r="P8" s="3">
        <f t="shared" ref="P8:Y8" si="2">+P5-P6-P7</f>
        <v>11388</v>
      </c>
      <c r="Q8" s="3">
        <f t="shared" si="2"/>
        <v>12966</v>
      </c>
      <c r="R8" s="3">
        <f t="shared" si="2"/>
        <v>18250</v>
      </c>
      <c r="S8" s="3">
        <f t="shared" si="2"/>
        <v>0</v>
      </c>
      <c r="T8" s="3">
        <f t="shared" si="2"/>
        <v>0</v>
      </c>
      <c r="U8" s="3">
        <f t="shared" si="2"/>
        <v>0</v>
      </c>
      <c r="V8" s="3">
        <f t="shared" si="2"/>
        <v>0</v>
      </c>
      <c r="W8" s="3">
        <f t="shared" si="2"/>
        <v>0</v>
      </c>
      <c r="X8" s="3">
        <f t="shared" si="2"/>
        <v>0</v>
      </c>
      <c r="Y8" s="3">
        <f t="shared" si="2"/>
        <v>0</v>
      </c>
    </row>
    <row r="9" spans="1:25" x14ac:dyDescent="0.25">
      <c r="B9" s="1" t="s">
        <v>14</v>
      </c>
      <c r="C9" s="3"/>
      <c r="D9" s="3"/>
      <c r="E9" s="3"/>
      <c r="F9" s="3"/>
      <c r="G9" s="3">
        <v>769</v>
      </c>
      <c r="H9" s="3"/>
      <c r="I9" s="3"/>
      <c r="J9" s="3"/>
      <c r="K9" s="3">
        <v>962</v>
      </c>
      <c r="L9" s="3"/>
      <c r="M9" s="3"/>
      <c r="O9" s="3">
        <v>3526</v>
      </c>
      <c r="P9" s="3">
        <v>3762</v>
      </c>
      <c r="Q9" s="3">
        <v>4312</v>
      </c>
      <c r="R9" s="3"/>
      <c r="S9" s="3"/>
      <c r="T9" s="3"/>
      <c r="U9" s="3"/>
      <c r="V9" s="3"/>
      <c r="W9" s="3"/>
      <c r="X9" s="3"/>
      <c r="Y9" s="3"/>
    </row>
    <row r="10" spans="1:25" x14ac:dyDescent="0.25">
      <c r="B10" s="1" t="s">
        <v>15</v>
      </c>
      <c r="C10" s="3"/>
      <c r="D10" s="3"/>
      <c r="E10" s="3"/>
      <c r="F10" s="3"/>
      <c r="G10" s="3">
        <v>680</v>
      </c>
      <c r="H10" s="3"/>
      <c r="I10" s="3"/>
      <c r="J10" s="3"/>
      <c r="K10" s="3">
        <v>704</v>
      </c>
      <c r="L10" s="3"/>
      <c r="M10" s="3"/>
      <c r="O10" s="3">
        <v>2347</v>
      </c>
      <c r="P10" s="3">
        <v>2539</v>
      </c>
      <c r="Q10" s="3">
        <v>2754</v>
      </c>
      <c r="R10" s="3"/>
      <c r="S10" s="3"/>
      <c r="T10" s="3"/>
      <c r="U10" s="3"/>
      <c r="V10" s="3"/>
      <c r="W10" s="3"/>
      <c r="X10" s="3"/>
      <c r="Y10" s="3"/>
    </row>
    <row r="11" spans="1:25" x14ac:dyDescent="0.25">
      <c r="B11" s="1" t="s">
        <v>16</v>
      </c>
      <c r="C11" s="3"/>
      <c r="D11" s="3"/>
      <c r="E11" s="3"/>
      <c r="F11" s="3"/>
      <c r="G11" s="3">
        <v>342</v>
      </c>
      <c r="H11" s="3"/>
      <c r="I11" s="3"/>
      <c r="J11" s="3"/>
      <c r="K11" s="3">
        <v>394</v>
      </c>
      <c r="L11" s="3"/>
      <c r="M11" s="3"/>
      <c r="O11" s="3">
        <v>1460</v>
      </c>
      <c r="P11" s="3">
        <v>1300</v>
      </c>
      <c r="Q11" s="3">
        <v>1418</v>
      </c>
      <c r="R11" s="3"/>
      <c r="S11" s="3"/>
      <c r="T11" s="3"/>
      <c r="U11" s="3"/>
      <c r="V11" s="3"/>
      <c r="W11" s="3"/>
      <c r="X11" s="3"/>
      <c r="Y11" s="3"/>
    </row>
    <row r="12" spans="1:25" x14ac:dyDescent="0.25">
      <c r="B12" s="1" t="s">
        <v>17</v>
      </c>
      <c r="C12" s="3"/>
      <c r="D12" s="3"/>
      <c r="E12" s="3"/>
      <c r="F12" s="3"/>
      <c r="G12" s="3">
        <f>120+38</f>
        <v>158</v>
      </c>
      <c r="H12" s="3"/>
      <c r="I12" s="3"/>
      <c r="J12" s="3"/>
      <c r="K12" s="3">
        <f>37+120</f>
        <v>157</v>
      </c>
      <c r="L12" s="3"/>
      <c r="M12" s="3"/>
      <c r="O12" s="3">
        <f>140+416</f>
        <v>556</v>
      </c>
      <c r="P12" s="3">
        <f>483+163</f>
        <v>646</v>
      </c>
      <c r="Q12" s="3">
        <f>146+483</f>
        <v>629</v>
      </c>
      <c r="R12" s="3"/>
      <c r="S12" s="3"/>
      <c r="T12" s="3"/>
      <c r="U12" s="3"/>
      <c r="V12" s="3"/>
      <c r="W12" s="3"/>
      <c r="X12" s="3"/>
      <c r="Y12" s="3"/>
    </row>
    <row r="13" spans="1:25" x14ac:dyDescent="0.25">
      <c r="B13" s="1" t="s">
        <v>18</v>
      </c>
      <c r="C13" s="3"/>
      <c r="D13" s="3"/>
      <c r="E13" s="3"/>
      <c r="F13" s="3"/>
      <c r="G13" s="3">
        <v>0</v>
      </c>
      <c r="H13" s="3"/>
      <c r="I13" s="3"/>
      <c r="J13" s="3"/>
      <c r="K13" s="3">
        <v>9</v>
      </c>
      <c r="L13" s="3"/>
      <c r="M13" s="3"/>
      <c r="O13" s="3">
        <v>0</v>
      </c>
      <c r="P13" s="3">
        <v>0</v>
      </c>
      <c r="Q13" s="3">
        <v>223</v>
      </c>
      <c r="R13" s="3"/>
      <c r="S13" s="3"/>
      <c r="T13" s="3"/>
      <c r="U13" s="3"/>
      <c r="V13" s="3"/>
      <c r="W13" s="3"/>
      <c r="X13" s="3"/>
      <c r="Y13" s="3"/>
    </row>
    <row r="14" spans="1:25" x14ac:dyDescent="0.25">
      <c r="B14" s="1" t="s">
        <v>19</v>
      </c>
      <c r="C14" s="3"/>
      <c r="D14" s="3"/>
      <c r="E14" s="3"/>
      <c r="F14" s="3"/>
      <c r="G14" s="3">
        <f>+SUM(G9:G13)</f>
        <v>1949</v>
      </c>
      <c r="H14" s="3"/>
      <c r="I14" s="3"/>
      <c r="J14" s="3"/>
      <c r="K14" s="3">
        <f>+SUM(K9:K13)</f>
        <v>2226</v>
      </c>
      <c r="L14" s="3"/>
      <c r="M14" s="3"/>
      <c r="O14" s="3">
        <f>+SUM(O9:O13)</f>
        <v>7889</v>
      </c>
      <c r="P14" s="3">
        <f t="shared" ref="P14:Y14" si="3">+SUM(P9:P13)</f>
        <v>8247</v>
      </c>
      <c r="Q14" s="3">
        <f t="shared" si="3"/>
        <v>9336</v>
      </c>
      <c r="R14" s="3">
        <f t="shared" si="3"/>
        <v>0</v>
      </c>
      <c r="S14" s="3">
        <f t="shared" si="3"/>
        <v>0</v>
      </c>
      <c r="T14" s="3">
        <f t="shared" si="3"/>
        <v>0</v>
      </c>
      <c r="U14" s="3">
        <f t="shared" si="3"/>
        <v>0</v>
      </c>
      <c r="V14" s="3">
        <f t="shared" si="3"/>
        <v>0</v>
      </c>
      <c r="W14" s="3">
        <f t="shared" si="3"/>
        <v>0</v>
      </c>
      <c r="X14" s="3">
        <f t="shared" si="3"/>
        <v>0</v>
      </c>
      <c r="Y14" s="3">
        <f t="shared" si="3"/>
        <v>0</v>
      </c>
    </row>
    <row r="15" spans="1:25" x14ac:dyDescent="0.25">
      <c r="B15" s="4" t="s">
        <v>20</v>
      </c>
      <c r="C15" s="6"/>
      <c r="D15" s="6"/>
      <c r="E15" s="6"/>
      <c r="F15" s="6"/>
      <c r="G15" s="6">
        <f>+G8-G14</f>
        <v>307</v>
      </c>
      <c r="H15" s="6"/>
      <c r="I15" s="6"/>
      <c r="J15" s="6"/>
      <c r="K15" s="6">
        <f>+K8-K14</f>
        <v>271</v>
      </c>
      <c r="L15" s="6"/>
      <c r="M15" s="6"/>
      <c r="N15" s="4"/>
      <c r="O15" s="6">
        <f>+O8-O14</f>
        <v>2571</v>
      </c>
      <c r="P15" s="6">
        <f t="shared" ref="P15:Y15" si="4">+P8-P14</f>
        <v>3141</v>
      </c>
      <c r="Q15" s="6">
        <f t="shared" si="4"/>
        <v>3630</v>
      </c>
      <c r="R15" s="6">
        <v>4700</v>
      </c>
      <c r="S15" s="6">
        <f t="shared" si="4"/>
        <v>0</v>
      </c>
      <c r="T15" s="6">
        <f t="shared" si="4"/>
        <v>0</v>
      </c>
      <c r="U15" s="6">
        <f t="shared" si="4"/>
        <v>0</v>
      </c>
      <c r="V15" s="6">
        <f t="shared" si="4"/>
        <v>0</v>
      </c>
      <c r="W15" s="6">
        <f t="shared" si="4"/>
        <v>0</v>
      </c>
      <c r="X15" s="6">
        <f t="shared" si="4"/>
        <v>0</v>
      </c>
      <c r="Y15" s="6">
        <f t="shared" si="4"/>
        <v>0</v>
      </c>
    </row>
    <row r="16" spans="1:25" x14ac:dyDescent="0.25">
      <c r="B16" s="1" t="s">
        <v>21</v>
      </c>
      <c r="C16" s="3"/>
      <c r="D16" s="3"/>
      <c r="E16" s="3"/>
      <c r="F16" s="3"/>
      <c r="G16" s="3">
        <v>-65</v>
      </c>
      <c r="H16" s="3"/>
      <c r="I16" s="3"/>
      <c r="J16" s="3"/>
      <c r="K16" s="3">
        <v>-60</v>
      </c>
      <c r="L16" s="3"/>
      <c r="M16" s="3"/>
      <c r="O16" s="3">
        <v>-81</v>
      </c>
      <c r="P16" s="3">
        <v>-248</v>
      </c>
      <c r="Q16" s="3">
        <v>-242</v>
      </c>
      <c r="R16" s="3"/>
      <c r="S16" s="3"/>
      <c r="T16" s="3"/>
      <c r="U16" s="3"/>
      <c r="V16" s="3"/>
      <c r="W16" s="3"/>
      <c r="X16" s="3"/>
      <c r="Y16" s="3"/>
    </row>
    <row r="17" spans="2:25" x14ac:dyDescent="0.25">
      <c r="B17" s="1" t="s">
        <v>22</v>
      </c>
      <c r="C17" s="3"/>
      <c r="D17" s="3"/>
      <c r="E17" s="3"/>
      <c r="F17" s="3"/>
      <c r="G17" s="3">
        <v>22</v>
      </c>
      <c r="H17" s="3"/>
      <c r="I17" s="3"/>
      <c r="J17" s="3"/>
      <c r="K17" s="3">
        <v>2</v>
      </c>
      <c r="L17" s="3"/>
      <c r="M17" s="3"/>
      <c r="O17" s="3">
        <v>52</v>
      </c>
      <c r="P17" s="3">
        <v>96</v>
      </c>
      <c r="Q17" s="3">
        <v>162</v>
      </c>
      <c r="R17" s="3"/>
      <c r="S17" s="3"/>
      <c r="T17" s="3"/>
      <c r="U17" s="3"/>
      <c r="V17" s="3"/>
      <c r="W17" s="3"/>
      <c r="X17" s="3"/>
      <c r="Y17" s="3"/>
    </row>
    <row r="18" spans="2:25" x14ac:dyDescent="0.25">
      <c r="B18" s="1" t="s">
        <v>23</v>
      </c>
      <c r="C18" s="3"/>
      <c r="D18" s="3"/>
      <c r="E18" s="3"/>
      <c r="F18" s="3"/>
      <c r="G18" s="3">
        <f>+G15+G16+G17</f>
        <v>264</v>
      </c>
      <c r="H18" s="3"/>
      <c r="I18" s="3"/>
      <c r="J18" s="3"/>
      <c r="K18" s="3">
        <f>+K15+K16+K17</f>
        <v>213</v>
      </c>
      <c r="L18" s="3"/>
      <c r="M18" s="3"/>
      <c r="O18" s="3">
        <f>+O15+O16+O17</f>
        <v>2542</v>
      </c>
      <c r="P18" s="3">
        <f t="shared" ref="P18:Y18" si="5">+P15+P16+P17</f>
        <v>2989</v>
      </c>
      <c r="Q18" s="3">
        <f t="shared" si="5"/>
        <v>3550</v>
      </c>
      <c r="R18" s="3">
        <f t="shared" si="5"/>
        <v>4700</v>
      </c>
      <c r="S18" s="3">
        <f t="shared" si="5"/>
        <v>0</v>
      </c>
      <c r="T18" s="3">
        <f t="shared" si="5"/>
        <v>0</v>
      </c>
      <c r="U18" s="3">
        <f t="shared" si="5"/>
        <v>0</v>
      </c>
      <c r="V18" s="3">
        <f t="shared" si="5"/>
        <v>0</v>
      </c>
      <c r="W18" s="3">
        <f t="shared" si="5"/>
        <v>0</v>
      </c>
      <c r="X18" s="3">
        <f t="shared" si="5"/>
        <v>0</v>
      </c>
      <c r="Y18" s="3">
        <f t="shared" si="5"/>
        <v>0</v>
      </c>
    </row>
    <row r="19" spans="2:25" x14ac:dyDescent="0.25">
      <c r="B19" s="1" t="s">
        <v>24</v>
      </c>
      <c r="C19" s="3"/>
      <c r="D19" s="3"/>
      <c r="E19" s="3"/>
      <c r="F19" s="3"/>
      <c r="G19" s="3">
        <v>23</v>
      </c>
      <c r="H19" s="3"/>
      <c r="I19" s="3"/>
      <c r="J19" s="3"/>
      <c r="K19" s="3">
        <v>16</v>
      </c>
      <c r="L19" s="3"/>
      <c r="M19" s="3"/>
      <c r="O19" s="3">
        <v>476</v>
      </c>
      <c r="P19" s="3">
        <v>605</v>
      </c>
      <c r="Q19" s="3">
        <v>587</v>
      </c>
      <c r="R19" s="3"/>
      <c r="S19" s="3"/>
      <c r="T19" s="3"/>
      <c r="U19" s="3"/>
      <c r="V19" s="3"/>
      <c r="W19" s="3"/>
      <c r="X19" s="3"/>
      <c r="Y19" s="3"/>
    </row>
    <row r="20" spans="2:25" s="4" customFormat="1" x14ac:dyDescent="0.25">
      <c r="B20" s="4" t="s">
        <v>25</v>
      </c>
      <c r="C20" s="6"/>
      <c r="D20" s="6"/>
      <c r="E20" s="6"/>
      <c r="F20" s="6"/>
      <c r="G20" s="6">
        <f>+G18-G19</f>
        <v>241</v>
      </c>
      <c r="H20" s="6"/>
      <c r="I20" s="6"/>
      <c r="J20" s="6"/>
      <c r="K20" s="6">
        <f>+K18-K19</f>
        <v>197</v>
      </c>
      <c r="L20" s="6"/>
      <c r="M20" s="6"/>
      <c r="O20" s="6">
        <f>+O18-O19</f>
        <v>2066</v>
      </c>
      <c r="P20" s="6">
        <f t="shared" ref="P20:Y20" si="6">+P18-P19</f>
        <v>2384</v>
      </c>
      <c r="Q20" s="6">
        <f t="shared" si="6"/>
        <v>2963</v>
      </c>
      <c r="R20" s="6">
        <f t="shared" si="6"/>
        <v>4700</v>
      </c>
      <c r="S20" s="6">
        <f t="shared" si="6"/>
        <v>0</v>
      </c>
      <c r="T20" s="6">
        <f t="shared" si="6"/>
        <v>0</v>
      </c>
      <c r="U20" s="6">
        <f t="shared" si="6"/>
        <v>0</v>
      </c>
      <c r="V20" s="6">
        <f t="shared" si="6"/>
        <v>0</v>
      </c>
      <c r="W20" s="6">
        <f t="shared" si="6"/>
        <v>0</v>
      </c>
      <c r="X20" s="6">
        <f t="shared" si="6"/>
        <v>0</v>
      </c>
      <c r="Y20" s="6">
        <f t="shared" si="6"/>
        <v>0</v>
      </c>
    </row>
    <row r="21" spans="2:25" x14ac:dyDescent="0.25">
      <c r="B21" s="1" t="s">
        <v>26</v>
      </c>
      <c r="G21" s="1">
        <v>283</v>
      </c>
      <c r="K21" s="1">
        <v>283</v>
      </c>
      <c r="O21" s="3">
        <v>284</v>
      </c>
      <c r="P21" s="3">
        <v>283</v>
      </c>
      <c r="Q21" s="3">
        <v>284</v>
      </c>
      <c r="R21" s="3"/>
      <c r="S21" s="3"/>
      <c r="T21" s="3"/>
      <c r="U21" s="3"/>
      <c r="V21" s="3"/>
      <c r="W21" s="3"/>
      <c r="X21" s="3"/>
      <c r="Y21" s="3"/>
    </row>
    <row r="22" spans="2:25" x14ac:dyDescent="0.25">
      <c r="B22" s="1" t="s">
        <v>27</v>
      </c>
      <c r="G22" s="12">
        <f>+G20/G21</f>
        <v>0.85159010600706708</v>
      </c>
      <c r="K22" s="12">
        <f>+K20/K21</f>
        <v>0.69611307420494695</v>
      </c>
      <c r="O22" s="7">
        <f>+O20/O21</f>
        <v>7.274647887323944</v>
      </c>
      <c r="P22" s="7">
        <f t="shared" ref="P22:Q22" si="7">+P20/P21</f>
        <v>8.4240282685512362</v>
      </c>
      <c r="Q22" s="7">
        <f t="shared" si="7"/>
        <v>10.433098591549296</v>
      </c>
    </row>
    <row r="24" spans="2:25" x14ac:dyDescent="0.25">
      <c r="B24" s="1" t="s">
        <v>8</v>
      </c>
      <c r="K24" s="11">
        <f>+K2/G2-1</f>
        <v>0.17918367346938768</v>
      </c>
      <c r="P24" s="8">
        <f t="shared" ref="P24" si="8">+P2/O2-1</f>
        <v>0.12855048561480675</v>
      </c>
      <c r="Q24" s="8">
        <f>+Q2/P2-1</f>
        <v>0.12535520012990187</v>
      </c>
    </row>
    <row r="25" spans="2:25" x14ac:dyDescent="0.25">
      <c r="B25" s="1" t="s">
        <v>9</v>
      </c>
      <c r="K25" s="11">
        <f t="shared" ref="K25" si="9">+K3/G3-1</f>
        <v>-0.25378787878787878</v>
      </c>
      <c r="P25" s="8">
        <f t="shared" ref="P25:Q25" si="10">+P3/O3-1</f>
        <v>0.13189845474613682</v>
      </c>
      <c r="Q25" s="8">
        <f t="shared" si="10"/>
        <v>0.18186250609458798</v>
      </c>
    </row>
    <row r="26" spans="2:25" x14ac:dyDescent="0.25">
      <c r="B26" s="4" t="s">
        <v>28</v>
      </c>
      <c r="C26" s="4"/>
      <c r="D26" s="4"/>
      <c r="E26" s="4"/>
      <c r="F26" s="4"/>
      <c r="G26" s="4"/>
      <c r="H26" s="4"/>
      <c r="I26" s="4"/>
      <c r="J26" s="4"/>
      <c r="K26" s="13">
        <f>+K5/G5-1</f>
        <v>0.10241773002014765</v>
      </c>
      <c r="L26" s="4"/>
      <c r="M26" s="4"/>
      <c r="N26" s="4"/>
      <c r="O26" s="4"/>
      <c r="P26" s="9">
        <f t="shared" ref="P26" si="11">+P5/O5-1</f>
        <v>0.1290271884331291</v>
      </c>
      <c r="Q26" s="9">
        <f>+Q5/P5-1</f>
        <v>0.13342149220489974</v>
      </c>
      <c r="R26" s="9">
        <f t="shared" ref="R26" si="12">+R5/Q5-1</f>
        <v>0.12066318698188527</v>
      </c>
    </row>
    <row r="28" spans="2:25" x14ac:dyDescent="0.25">
      <c r="B28" s="1" t="s">
        <v>8</v>
      </c>
      <c r="G28" s="8">
        <f t="shared" ref="G28" si="13">+(G2-G6)/G2</f>
        <v>0.71142857142857141</v>
      </c>
      <c r="K28" s="8">
        <f t="shared" ref="K28" si="14">+(K2-K6)/K2</f>
        <v>0.73277950848044304</v>
      </c>
      <c r="O28" s="8">
        <f t="shared" ref="O28:P28" si="15">+(O2-O6)/O2</f>
        <v>0.79879054425508522</v>
      </c>
      <c r="P28" s="8">
        <f t="shared" si="15"/>
        <v>0.76390354794186899</v>
      </c>
      <c r="Q28" s="8">
        <f>+(Q2-Q6)/Q2</f>
        <v>0.7655291825986581</v>
      </c>
    </row>
    <row r="29" spans="2:25" x14ac:dyDescent="0.25">
      <c r="B29" s="1" t="s">
        <v>9</v>
      </c>
      <c r="G29" s="8">
        <f t="shared" ref="G29" si="16">+(G3-G7)/G3</f>
        <v>0.97159090909090906</v>
      </c>
      <c r="K29" s="8">
        <f t="shared" ref="K29" si="17">+(K3-K7)/K3</f>
        <v>0.96446700507614214</v>
      </c>
      <c r="O29" s="8">
        <f t="shared" ref="O29:P29" si="18">+(O3-O7)/O3</f>
        <v>0.96136865342163358</v>
      </c>
      <c r="P29" s="8">
        <f t="shared" si="18"/>
        <v>0.96489517308629935</v>
      </c>
      <c r="Q29" s="8">
        <f>+(Q3-Q7)/Q3</f>
        <v>0.97153465346534651</v>
      </c>
    </row>
    <row r="30" spans="2:25" x14ac:dyDescent="0.25">
      <c r="B30" s="1" t="s">
        <v>29</v>
      </c>
      <c r="G30" s="8">
        <f t="shared" ref="G30" si="19">+G8/G5</f>
        <v>0.7575554063129617</v>
      </c>
      <c r="K30" s="8">
        <f t="shared" ref="K30" si="20">+K8/K5</f>
        <v>0.76058483094730434</v>
      </c>
      <c r="O30" s="8">
        <f t="shared" ref="O30:P30" si="21">+O8/O5</f>
        <v>0.82193933679082198</v>
      </c>
      <c r="P30" s="8">
        <f t="shared" si="21"/>
        <v>0.79259465478841873</v>
      </c>
      <c r="Q30" s="8">
        <f>+Q8/Q5</f>
        <v>0.79619281547436294</v>
      </c>
    </row>
    <row r="31" spans="2:25" x14ac:dyDescent="0.25">
      <c r="B31" s="1" t="s">
        <v>30</v>
      </c>
      <c r="G31" s="8">
        <f t="shared" ref="G31" si="22">+G15/G5</f>
        <v>0.10308932169241102</v>
      </c>
      <c r="K31" s="8">
        <f t="shared" ref="K31" si="23">+K15/K5</f>
        <v>8.2546451416387445E-2</v>
      </c>
      <c r="O31" s="8">
        <f t="shared" ref="O31:P31" si="24">+O15/O5</f>
        <v>0.20202734559170202</v>
      </c>
      <c r="P31" s="8">
        <f t="shared" si="24"/>
        <v>0.2186108017817372</v>
      </c>
      <c r="Q31" s="8">
        <f>+Q15/Q5</f>
        <v>0.22290451335584893</v>
      </c>
      <c r="R31" s="8">
        <f t="shared" ref="R31" si="25">+R15/R5</f>
        <v>0.25753424657534246</v>
      </c>
    </row>
    <row r="32" spans="2:25" x14ac:dyDescent="0.25">
      <c r="B32" s="1" t="s">
        <v>31</v>
      </c>
      <c r="G32" s="8">
        <f t="shared" ref="G32" si="26">+G20/G5</f>
        <v>8.0926796507723303E-2</v>
      </c>
      <c r="K32" s="8">
        <f t="shared" ref="K32" si="27">+K20/K5</f>
        <v>6.0006091989034421E-2</v>
      </c>
      <c r="O32" s="8">
        <f t="shared" ref="O32:P32" si="28">+O20/O5</f>
        <v>0.16234480590916234</v>
      </c>
      <c r="P32" s="8">
        <f t="shared" si="28"/>
        <v>0.16592427616926503</v>
      </c>
      <c r="Q32" s="8">
        <f>+Q20/Q5</f>
        <v>0.18194657660423702</v>
      </c>
    </row>
    <row r="34" spans="2:17" x14ac:dyDescent="0.25">
      <c r="B34" s="1" t="s">
        <v>25</v>
      </c>
      <c r="O34" s="3">
        <f t="shared" ref="O34:P34" si="29">+O20</f>
        <v>2066</v>
      </c>
      <c r="P34" s="3">
        <f t="shared" si="29"/>
        <v>2384</v>
      </c>
      <c r="Q34" s="3">
        <f>+Q20</f>
        <v>2963</v>
      </c>
    </row>
    <row r="35" spans="2:17" x14ac:dyDescent="0.25">
      <c r="B35" s="1" t="s">
        <v>32</v>
      </c>
      <c r="O35" s="1">
        <f>187+559</f>
        <v>746</v>
      </c>
      <c r="P35" s="1">
        <f>160+646</f>
        <v>806</v>
      </c>
      <c r="Q35" s="1">
        <f>159+630</f>
        <v>789</v>
      </c>
    </row>
    <row r="36" spans="2:17" x14ac:dyDescent="0.25">
      <c r="B36" s="1" t="s">
        <v>33</v>
      </c>
      <c r="O36" s="1">
        <v>83</v>
      </c>
      <c r="P36" s="1">
        <v>90</v>
      </c>
      <c r="Q36" s="1">
        <v>81</v>
      </c>
    </row>
    <row r="37" spans="2:17" x14ac:dyDescent="0.25">
      <c r="B37" s="1" t="s">
        <v>34</v>
      </c>
      <c r="O37" s="1">
        <v>1308</v>
      </c>
      <c r="P37" s="1">
        <v>1712</v>
      </c>
      <c r="Q37" s="1">
        <v>1940</v>
      </c>
    </row>
    <row r="38" spans="2:17" x14ac:dyDescent="0.25">
      <c r="B38" s="1" t="s">
        <v>35</v>
      </c>
      <c r="O38" s="1">
        <v>120</v>
      </c>
      <c r="P38" s="1">
        <v>-628</v>
      </c>
      <c r="Q38" s="1">
        <v>-554</v>
      </c>
    </row>
    <row r="39" spans="2:17" x14ac:dyDescent="0.25">
      <c r="B39" s="1" t="s">
        <v>36</v>
      </c>
      <c r="O39" s="1">
        <v>2</v>
      </c>
      <c r="P39" s="1">
        <v>81</v>
      </c>
      <c r="Q39" s="1">
        <v>92</v>
      </c>
    </row>
    <row r="40" spans="2:17" x14ac:dyDescent="0.25">
      <c r="B40" s="1" t="s">
        <v>37</v>
      </c>
      <c r="Q40" s="1">
        <v>-96</v>
      </c>
    </row>
    <row r="41" spans="2:17" x14ac:dyDescent="0.25">
      <c r="B41" s="1" t="s">
        <v>38</v>
      </c>
      <c r="Q41" s="1">
        <v>98</v>
      </c>
    </row>
    <row r="42" spans="2:17" x14ac:dyDescent="0.25">
      <c r="B42" s="1" t="s">
        <v>39</v>
      </c>
      <c r="O42" s="1">
        <f>-31+29-121-95-357+71-83+6+145</f>
        <v>-436</v>
      </c>
      <c r="P42" s="1">
        <f>42+64-75-97+88+111-81+690-141</f>
        <v>601</v>
      </c>
      <c r="Q42" s="1">
        <f>-52-48-30+133+257-49-71-691+122</f>
        <v>-429</v>
      </c>
    </row>
    <row r="43" spans="2:17" x14ac:dyDescent="0.25">
      <c r="B43" s="4" t="s">
        <v>40</v>
      </c>
      <c r="C43" s="4"/>
      <c r="D43" s="4"/>
      <c r="E43" s="4"/>
      <c r="F43" s="4"/>
      <c r="G43" s="4">
        <v>-97</v>
      </c>
      <c r="H43" s="4"/>
      <c r="I43" s="4"/>
      <c r="J43" s="4"/>
      <c r="K43" s="4">
        <v>362</v>
      </c>
      <c r="L43" s="4"/>
      <c r="M43" s="4"/>
      <c r="N43" s="4"/>
      <c r="O43" s="6">
        <f t="shared" ref="O43:P43" si="30">+SUM(O34:O42)</f>
        <v>3889</v>
      </c>
      <c r="P43" s="6">
        <f t="shared" si="30"/>
        <v>5046</v>
      </c>
      <c r="Q43" s="6">
        <f>+SUM(Q34:Q42)</f>
        <v>4884</v>
      </c>
    </row>
    <row r="45" spans="2:17" x14ac:dyDescent="0.25">
      <c r="B45" s="1" t="s">
        <v>51</v>
      </c>
      <c r="O45" s="3">
        <v>-830</v>
      </c>
      <c r="P45" s="3">
        <v>-1015</v>
      </c>
      <c r="Q45" s="3">
        <v>-780</v>
      </c>
    </row>
    <row r="46" spans="2:17" x14ac:dyDescent="0.25">
      <c r="B46" s="1" t="s">
        <v>41</v>
      </c>
      <c r="O46" s="3">
        <v>1524</v>
      </c>
      <c r="P46" s="3">
        <v>240</v>
      </c>
      <c r="Q46" s="3">
        <v>526</v>
      </c>
    </row>
    <row r="47" spans="2:17" x14ac:dyDescent="0.25">
      <c r="B47" s="1" t="s">
        <v>42</v>
      </c>
      <c r="O47" s="3">
        <v>234</v>
      </c>
      <c r="P47" s="3">
        <v>449</v>
      </c>
      <c r="Q47" s="3">
        <v>676</v>
      </c>
    </row>
    <row r="48" spans="2:17" x14ac:dyDescent="0.25">
      <c r="B48" s="1" t="s">
        <v>43</v>
      </c>
      <c r="G48" s="1">
        <v>84</v>
      </c>
      <c r="K48" s="1">
        <v>33</v>
      </c>
      <c r="O48" s="3">
        <v>-157</v>
      </c>
      <c r="P48" s="3">
        <v>-210</v>
      </c>
      <c r="Q48" s="3">
        <v>-191</v>
      </c>
    </row>
    <row r="49" spans="2:17" x14ac:dyDescent="0.25">
      <c r="B49" s="1" t="s">
        <v>44</v>
      </c>
      <c r="O49" s="3">
        <v>-72</v>
      </c>
      <c r="P49" s="3">
        <v>-50</v>
      </c>
      <c r="Q49" s="3">
        <v>-59</v>
      </c>
    </row>
    <row r="50" spans="2:17" x14ac:dyDescent="0.25">
      <c r="B50" s="1" t="s">
        <v>45</v>
      </c>
      <c r="O50" s="3">
        <v>-5682</v>
      </c>
      <c r="P50" s="3">
        <v>-33</v>
      </c>
      <c r="Q50" s="3">
        <v>-83</v>
      </c>
    </row>
    <row r="51" spans="2:17" x14ac:dyDescent="0.25">
      <c r="B51" s="1" t="s">
        <v>46</v>
      </c>
      <c r="O51" s="3">
        <v>-933</v>
      </c>
      <c r="P51" s="3">
        <v>-1983</v>
      </c>
      <c r="Q51" s="3">
        <v>-2538</v>
      </c>
    </row>
    <row r="52" spans="2:17" x14ac:dyDescent="0.25">
      <c r="B52" s="1" t="s">
        <v>47</v>
      </c>
      <c r="O52" s="3"/>
      <c r="P52" s="3"/>
      <c r="Q52" s="3">
        <v>234</v>
      </c>
    </row>
    <row r="53" spans="2:17" x14ac:dyDescent="0.25">
      <c r="B53" s="1" t="s">
        <v>48</v>
      </c>
      <c r="O53" s="3">
        <v>519</v>
      </c>
      <c r="P53" s="3">
        <v>1727</v>
      </c>
      <c r="Q53" s="3">
        <v>2068</v>
      </c>
    </row>
    <row r="54" spans="2:17" x14ac:dyDescent="0.25">
      <c r="B54" s="1" t="s">
        <v>49</v>
      </c>
      <c r="O54" s="3">
        <v>-24</v>
      </c>
      <c r="P54" s="3">
        <v>-47</v>
      </c>
      <c r="Q54" s="3">
        <v>-80</v>
      </c>
    </row>
    <row r="55" spans="2:17" x14ac:dyDescent="0.25">
      <c r="B55" s="1" t="s">
        <v>50</v>
      </c>
      <c r="O55" s="3">
        <f t="shared" ref="O55:P55" si="31">+SUM(O45:O54)</f>
        <v>-5421</v>
      </c>
      <c r="P55" s="3">
        <f t="shared" si="31"/>
        <v>-922</v>
      </c>
      <c r="Q55" s="3">
        <f>+SUM(Q45:Q54)</f>
        <v>-227</v>
      </c>
    </row>
    <row r="56" spans="2:17" x14ac:dyDescent="0.25">
      <c r="O56" s="3"/>
      <c r="P56" s="3"/>
      <c r="Q56" s="3"/>
    </row>
    <row r="57" spans="2:17" x14ac:dyDescent="0.25">
      <c r="B57" s="1" t="s">
        <v>52</v>
      </c>
      <c r="O57" s="3">
        <v>4700</v>
      </c>
      <c r="P57" s="3"/>
      <c r="Q57" s="3">
        <v>3956</v>
      </c>
    </row>
    <row r="58" spans="2:17" x14ac:dyDescent="0.25">
      <c r="B58" s="1" t="s">
        <v>53</v>
      </c>
      <c r="O58" s="3"/>
      <c r="P58" s="3">
        <v>-1009</v>
      </c>
      <c r="Q58" s="3">
        <v>-4200</v>
      </c>
    </row>
    <row r="59" spans="2:17" x14ac:dyDescent="0.25">
      <c r="B59" s="1" t="s">
        <v>54</v>
      </c>
      <c r="O59" s="3"/>
      <c r="P59" s="3"/>
      <c r="Q59" s="3">
        <v>100</v>
      </c>
    </row>
    <row r="60" spans="2:17" x14ac:dyDescent="0.25">
      <c r="B60" s="1" t="s">
        <v>55</v>
      </c>
      <c r="O60" s="3"/>
      <c r="P60" s="3"/>
      <c r="Q60" s="3">
        <v>-100</v>
      </c>
    </row>
    <row r="61" spans="2:17" x14ac:dyDescent="0.25">
      <c r="B61" s="1" t="s">
        <v>62</v>
      </c>
      <c r="O61" s="3">
        <v>182</v>
      </c>
      <c r="P61" s="3">
        <v>222</v>
      </c>
      <c r="Q61" s="3">
        <v>180</v>
      </c>
    </row>
    <row r="62" spans="2:17" x14ac:dyDescent="0.25">
      <c r="B62" s="1" t="s">
        <v>55</v>
      </c>
      <c r="O62" s="3"/>
      <c r="P62" s="3">
        <v>-23</v>
      </c>
      <c r="Q62" s="3">
        <v>-25</v>
      </c>
    </row>
    <row r="63" spans="2:17" x14ac:dyDescent="0.25">
      <c r="B63" s="1" t="s">
        <v>56</v>
      </c>
      <c r="O63" s="3">
        <v>162</v>
      </c>
      <c r="P63" s="3">
        <v>228</v>
      </c>
      <c r="Q63" s="3">
        <v>282</v>
      </c>
    </row>
    <row r="64" spans="2:17" x14ac:dyDescent="0.25">
      <c r="B64" s="1" t="s">
        <v>57</v>
      </c>
      <c r="O64" s="3">
        <v>-611</v>
      </c>
      <c r="P64" s="3">
        <v>-633</v>
      </c>
      <c r="Q64" s="3">
        <v>-1002</v>
      </c>
    </row>
    <row r="65" spans="2:17" x14ac:dyDescent="0.25">
      <c r="B65" s="1" t="s">
        <v>58</v>
      </c>
      <c r="O65" s="3">
        <v>-1861</v>
      </c>
      <c r="P65" s="3">
        <v>-1967</v>
      </c>
      <c r="Q65" s="3">
        <v>-1988</v>
      </c>
    </row>
    <row r="66" spans="2:17" x14ac:dyDescent="0.25">
      <c r="B66" s="1" t="s">
        <v>59</v>
      </c>
      <c r="O66" s="3">
        <v>-774</v>
      </c>
      <c r="P66" s="3">
        <v>-889</v>
      </c>
      <c r="Q66" s="3">
        <v>-1034</v>
      </c>
    </row>
    <row r="67" spans="2:17" x14ac:dyDescent="0.25">
      <c r="B67" s="1" t="s">
        <v>60</v>
      </c>
      <c r="O67" s="3">
        <v>-56</v>
      </c>
      <c r="P67" s="3">
        <v>-197</v>
      </c>
      <c r="Q67" s="3">
        <v>3436</v>
      </c>
    </row>
    <row r="68" spans="2:17" x14ac:dyDescent="0.25">
      <c r="B68" s="1" t="s">
        <v>36</v>
      </c>
      <c r="O68" s="3">
        <v>-10</v>
      </c>
      <c r="P68" s="3">
        <v>-1</v>
      </c>
      <c r="Q68" s="3">
        <v>-2</v>
      </c>
    </row>
    <row r="69" spans="2:17" x14ac:dyDescent="0.25">
      <c r="B69" s="1" t="s">
        <v>61</v>
      </c>
      <c r="O69" s="3">
        <f t="shared" ref="O69:P69" si="32">+SUM(O57:O68)</f>
        <v>1732</v>
      </c>
      <c r="P69" s="3">
        <f t="shared" si="32"/>
        <v>-4269</v>
      </c>
      <c r="Q69" s="3">
        <f>+SUM(Q57:Q68)</f>
        <v>-397</v>
      </c>
    </row>
    <row r="70" spans="2:17" x14ac:dyDescent="0.25">
      <c r="B70" s="1" t="s">
        <v>63</v>
      </c>
      <c r="O70" s="1">
        <v>-22</v>
      </c>
      <c r="Q70" s="1">
        <v>-13</v>
      </c>
    </row>
    <row r="71" spans="2:17" x14ac:dyDescent="0.25">
      <c r="B71" s="1" t="s">
        <v>64</v>
      </c>
      <c r="O71" s="3">
        <f t="shared" ref="O71:P71" si="33">+O43+O55+O69+O70</f>
        <v>178</v>
      </c>
      <c r="P71" s="3">
        <f t="shared" si="33"/>
        <v>-145</v>
      </c>
      <c r="Q71" s="3">
        <f>+Q43+Q55+Q69+Q70</f>
        <v>4247</v>
      </c>
    </row>
    <row r="73" spans="2:17" x14ac:dyDescent="0.25">
      <c r="B73" s="4" t="s">
        <v>65</v>
      </c>
      <c r="C73" s="4"/>
      <c r="D73" s="4"/>
      <c r="E73" s="4"/>
      <c r="F73" s="4"/>
      <c r="G73" s="6">
        <f>+G43+G48+G49</f>
        <v>-13</v>
      </c>
      <c r="H73" s="4"/>
      <c r="I73" s="4"/>
      <c r="J73" s="4"/>
      <c r="K73" s="6">
        <f>+K43+K48+K49</f>
        <v>395</v>
      </c>
      <c r="L73" s="4"/>
      <c r="M73" s="4"/>
      <c r="N73" s="4"/>
      <c r="O73" s="6">
        <f>+O43+O48+O49</f>
        <v>3660</v>
      </c>
      <c r="P73" s="6">
        <f t="shared" ref="O73:P73" si="34">+P43+P48+P49</f>
        <v>4786</v>
      </c>
      <c r="Q73" s="6">
        <f>+Q43+Q48+Q49</f>
        <v>4634</v>
      </c>
    </row>
  </sheetData>
  <hyperlinks>
    <hyperlink ref="A1" location="main!A1" display="main" xr:uid="{E0D5001C-8CC4-435D-A25B-E01EEA941EB5}"/>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2024-10-04T20:04:09Z</dcterms:created>
  <dcterms:modified xsi:type="dcterms:W3CDTF">2025-02-22T13:40:55Z</dcterms:modified>
</cp:coreProperties>
</file>