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327" documentId="8_{7BEB6A1C-9926-4614-9081-3010D442A800}" xr6:coauthVersionLast="47" xr6:coauthVersionMax="47" xr10:uidLastSave="{A8495800-038F-419E-A706-6C15842A7870}"/>
  <bookViews>
    <workbookView xWindow="14295" yWindow="0" windowWidth="14610" windowHeight="15585" activeTab="1" xr2:uid="{29F5B527-0E0E-4539-8D08-F78C276F634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6" i="2" l="1"/>
  <c r="M36" i="2"/>
  <c r="F21" i="2"/>
  <c r="F19" i="2"/>
  <c r="F18" i="2"/>
  <c r="F17" i="2"/>
  <c r="F14" i="2"/>
  <c r="F13" i="2"/>
  <c r="F15" i="2" s="1"/>
  <c r="F12" i="2"/>
  <c r="F11" i="2"/>
  <c r="F9" i="2"/>
  <c r="F7" i="2"/>
  <c r="F6" i="2"/>
  <c r="F8" i="2" s="1"/>
  <c r="F5" i="2"/>
  <c r="F4" i="2"/>
  <c r="F3" i="2"/>
  <c r="M24" i="2"/>
  <c r="N24" i="2"/>
  <c r="L31" i="2"/>
  <c r="L32" i="2" s="1"/>
  <c r="L15" i="2"/>
  <c r="L8" i="2"/>
  <c r="L10" i="2" s="1"/>
  <c r="L25" i="2" s="1"/>
  <c r="V31" i="2"/>
  <c r="V32" i="2" s="1"/>
  <c r="V15" i="2"/>
  <c r="V10" i="2"/>
  <c r="V25" i="2" s="1"/>
  <c r="V8" i="2"/>
  <c r="U31" i="2"/>
  <c r="U32" i="2" s="1"/>
  <c r="U15" i="2"/>
  <c r="U10" i="2"/>
  <c r="U25" i="2" s="1"/>
  <c r="U8" i="2"/>
  <c r="T31" i="2"/>
  <c r="T32" i="2" s="1"/>
  <c r="T15" i="2"/>
  <c r="T8" i="2"/>
  <c r="T10" i="2" s="1"/>
  <c r="S31" i="2"/>
  <c r="S32" i="2" s="1"/>
  <c r="S15" i="2"/>
  <c r="S10" i="2"/>
  <c r="S25" i="2" s="1"/>
  <c r="S8" i="2"/>
  <c r="R31" i="2"/>
  <c r="R32" i="2" s="1"/>
  <c r="R15" i="2"/>
  <c r="R10" i="2"/>
  <c r="R25" i="2" s="1"/>
  <c r="R8" i="2"/>
  <c r="Q31" i="2"/>
  <c r="Q32" i="2" s="1"/>
  <c r="Q15" i="2"/>
  <c r="Q10" i="2"/>
  <c r="Q25" i="2" s="1"/>
  <c r="Q8" i="2"/>
  <c r="P31" i="2"/>
  <c r="P32" i="2" s="1"/>
  <c r="P15" i="2"/>
  <c r="P10" i="2"/>
  <c r="P25" i="2" s="1"/>
  <c r="P8" i="2"/>
  <c r="O31" i="2"/>
  <c r="O32" i="2" s="1"/>
  <c r="O15" i="2"/>
  <c r="O10" i="2"/>
  <c r="O25" i="2" s="1"/>
  <c r="O8" i="2"/>
  <c r="N31" i="2"/>
  <c r="N32" i="2" s="1"/>
  <c r="N15" i="2"/>
  <c r="N8" i="2"/>
  <c r="N10" i="2" s="1"/>
  <c r="N25" i="2" s="1"/>
  <c r="M31" i="2"/>
  <c r="M32" i="2" s="1"/>
  <c r="M15" i="2"/>
  <c r="M8" i="2"/>
  <c r="M10" i="2" s="1"/>
  <c r="M25" i="2" s="1"/>
  <c r="N2" i="2"/>
  <c r="O2" i="2" s="1"/>
  <c r="P2" i="2" s="1"/>
  <c r="Q2" i="2" s="1"/>
  <c r="R2" i="2" s="1"/>
  <c r="S2" i="2" s="1"/>
  <c r="T2" i="2" s="1"/>
  <c r="U2" i="2" s="1"/>
  <c r="V2" i="2" s="1"/>
  <c r="M2" i="2"/>
  <c r="I10" i="2"/>
  <c r="I32" i="2"/>
  <c r="H32" i="2"/>
  <c r="G32" i="2"/>
  <c r="F32" i="2"/>
  <c r="E32" i="2"/>
  <c r="D32" i="2"/>
  <c r="C32" i="2"/>
  <c r="C30" i="2"/>
  <c r="C29" i="2"/>
  <c r="C31" i="2" s="1"/>
  <c r="G30" i="2"/>
  <c r="G31" i="2" s="1"/>
  <c r="G29" i="2"/>
  <c r="E30" i="2"/>
  <c r="E29" i="2"/>
  <c r="I30" i="2"/>
  <c r="I29" i="2"/>
  <c r="D30" i="2"/>
  <c r="D31" i="2" s="1"/>
  <c r="D29" i="2"/>
  <c r="F31" i="2"/>
  <c r="H31" i="2"/>
  <c r="H30" i="2"/>
  <c r="H29" i="2"/>
  <c r="E27" i="2"/>
  <c r="E26" i="2"/>
  <c r="E25" i="2"/>
  <c r="I27" i="2"/>
  <c r="I26" i="2"/>
  <c r="I25" i="2"/>
  <c r="I24" i="2"/>
  <c r="I22" i="2"/>
  <c r="E22" i="2"/>
  <c r="E20" i="2"/>
  <c r="I20" i="2"/>
  <c r="I16" i="2"/>
  <c r="H15" i="2"/>
  <c r="G15" i="2"/>
  <c r="E15" i="2"/>
  <c r="E16" i="2" s="1"/>
  <c r="D15" i="2"/>
  <c r="C15" i="2"/>
  <c r="I15" i="2"/>
  <c r="E10" i="2"/>
  <c r="I8" i="2"/>
  <c r="H8" i="2"/>
  <c r="H10" i="2" s="1"/>
  <c r="G8" i="2"/>
  <c r="E8" i="2"/>
  <c r="D8" i="2"/>
  <c r="D10" i="2" s="1"/>
  <c r="C8" i="2"/>
  <c r="C10" i="2" s="1"/>
  <c r="B2" i="1" a="1"/>
  <c r="B2" i="1" s="1"/>
  <c r="B4" i="1" s="1"/>
  <c r="B7" i="1" s="1"/>
  <c r="F10" i="2" l="1"/>
  <c r="F25" i="2" s="1"/>
  <c r="L16" i="2"/>
  <c r="L26" i="2" s="1"/>
  <c r="V16" i="2"/>
  <c r="U16" i="2"/>
  <c r="T16" i="2"/>
  <c r="T25" i="2"/>
  <c r="S16" i="2"/>
  <c r="R16" i="2"/>
  <c r="Q16" i="2"/>
  <c r="P16" i="2"/>
  <c r="O16" i="2"/>
  <c r="N16" i="2"/>
  <c r="M16" i="2"/>
  <c r="C16" i="2"/>
  <c r="C25" i="2"/>
  <c r="G24" i="2"/>
  <c r="G10" i="2"/>
  <c r="G25" i="2" s="1"/>
  <c r="E31" i="2"/>
  <c r="I31" i="2"/>
  <c r="D16" i="2"/>
  <c r="D25" i="2"/>
  <c r="H16" i="2"/>
  <c r="H25" i="2"/>
  <c r="H24" i="2"/>
  <c r="F16" i="2" l="1"/>
  <c r="F20" i="2" s="1"/>
  <c r="F22" i="2" s="1"/>
  <c r="F27" i="2" s="1"/>
  <c r="L20" i="2"/>
  <c r="L22" i="2" s="1"/>
  <c r="L27" i="2" s="1"/>
  <c r="V26" i="2"/>
  <c r="V20" i="2"/>
  <c r="V22" i="2" s="1"/>
  <c r="V27" i="2" s="1"/>
  <c r="U26" i="2"/>
  <c r="U20" i="2"/>
  <c r="U22" i="2" s="1"/>
  <c r="U27" i="2" s="1"/>
  <c r="T20" i="2"/>
  <c r="T22" i="2" s="1"/>
  <c r="T27" i="2" s="1"/>
  <c r="T26" i="2"/>
  <c r="S26" i="2"/>
  <c r="S20" i="2"/>
  <c r="S22" i="2" s="1"/>
  <c r="S27" i="2" s="1"/>
  <c r="R26" i="2"/>
  <c r="R20" i="2"/>
  <c r="R22" i="2" s="1"/>
  <c r="R27" i="2" s="1"/>
  <c r="Q26" i="2"/>
  <c r="Q20" i="2"/>
  <c r="Q22" i="2" s="1"/>
  <c r="Q27" i="2" s="1"/>
  <c r="P26" i="2"/>
  <c r="P20" i="2"/>
  <c r="P22" i="2" s="1"/>
  <c r="P27" i="2" s="1"/>
  <c r="O26" i="2"/>
  <c r="O20" i="2"/>
  <c r="O22" i="2" s="1"/>
  <c r="O27" i="2" s="1"/>
  <c r="N26" i="2"/>
  <c r="N20" i="2"/>
  <c r="N22" i="2" s="1"/>
  <c r="N27" i="2" s="1"/>
  <c r="M26" i="2"/>
  <c r="M20" i="2"/>
  <c r="M22" i="2" s="1"/>
  <c r="M27" i="2" s="1"/>
  <c r="C20" i="2"/>
  <c r="C22" i="2" s="1"/>
  <c r="C27" i="2" s="1"/>
  <c r="C26" i="2"/>
  <c r="G16" i="2"/>
  <c r="G26" i="2" s="1"/>
  <c r="D20" i="2"/>
  <c r="D22" i="2" s="1"/>
  <c r="D27" i="2" s="1"/>
  <c r="D26" i="2"/>
  <c r="H26" i="2"/>
  <c r="H20" i="2"/>
  <c r="H22" i="2" s="1"/>
  <c r="H27" i="2" s="1"/>
  <c r="F26" i="2" l="1"/>
  <c r="G20" i="2"/>
  <c r="G22" i="2" s="1"/>
  <c r="G2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<sst xmlns="http://schemas.openxmlformats.org/spreadsheetml/2006/main" count="45" uniqueCount="45">
  <si>
    <t>ticket</t>
  </si>
  <si>
    <t>price</t>
  </si>
  <si>
    <t>shares</t>
  </si>
  <si>
    <t>mc</t>
  </si>
  <si>
    <t>cash</t>
  </si>
  <si>
    <t>debt</t>
  </si>
  <si>
    <t>ev</t>
  </si>
  <si>
    <t>JD Retail</t>
  </si>
  <si>
    <t>JD Logistics</t>
  </si>
  <si>
    <t>Dada</t>
  </si>
  <si>
    <t>New Businesses</t>
  </si>
  <si>
    <t>Inter-segment eliminations</t>
  </si>
  <si>
    <t>Total Revenue</t>
  </si>
  <si>
    <t>Q3 2022</t>
  </si>
  <si>
    <t>Q3 2023</t>
  </si>
  <si>
    <t>Q2 2023</t>
  </si>
  <si>
    <t>Q1 2023</t>
  </si>
  <si>
    <t>Q4 2022</t>
  </si>
  <si>
    <t>Q2 2022</t>
  </si>
  <si>
    <t>Q1 2022</t>
  </si>
  <si>
    <t>RMB</t>
  </si>
  <si>
    <t>COGS</t>
  </si>
  <si>
    <t>Gross Profit</t>
  </si>
  <si>
    <t>Fullfillment</t>
  </si>
  <si>
    <t>Marketing</t>
  </si>
  <si>
    <t>R&amp;D</t>
  </si>
  <si>
    <t>G&amp;A</t>
  </si>
  <si>
    <t>Operating Income</t>
  </si>
  <si>
    <t>Total Opex</t>
  </si>
  <si>
    <t>Equity Investments</t>
  </si>
  <si>
    <t>Net Interest</t>
  </si>
  <si>
    <t>Other Income</t>
  </si>
  <si>
    <t>Pretax Income</t>
  </si>
  <si>
    <t>Taxes</t>
  </si>
  <si>
    <t>Net Income</t>
  </si>
  <si>
    <t>Revenue Y/Y</t>
  </si>
  <si>
    <t>Gross Margin</t>
  </si>
  <si>
    <t>Operating Margin</t>
  </si>
  <si>
    <t>Net Margin</t>
  </si>
  <si>
    <t>CFFO</t>
  </si>
  <si>
    <t>CAPEX</t>
  </si>
  <si>
    <t>FCF</t>
  </si>
  <si>
    <t>FCF USD</t>
  </si>
  <si>
    <t>SBC</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</si>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</sst>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_-[$$-409]* #,##0.00_ ;_-[$$-409]* \-#,##0.00\ ;_-[$$-409]* &quot;-&quot;??_ ;_-@_ "/>
    <numFmt numFmtId="166" formatCode="_-[$$-409]* #,##0_ ;_-[$$-409]* \-#,##0\ ;_-[$$-409]* &quot;-&quot;??_ ;_-@_ "/>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165" fontId="0" fillId="0" borderId="0" xfId="0" applyNumberFormat="1"/>
    <xf numFmtId="0" fontId="1" fillId="0" borderId="0" xfId="0" applyFont="1"/>
    <xf numFmtId="3" fontId="0" fillId="0" borderId="0" xfId="0" applyNumberFormat="1"/>
    <xf numFmtId="3" fontId="1" fillId="0" borderId="0" xfId="0" applyNumberFormat="1" applyFont="1"/>
    <xf numFmtId="9" fontId="0" fillId="0" borderId="0" xfId="0" applyNumberFormat="1"/>
    <xf numFmtId="10"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https://www.bing.com/financeapi/forcetrigger?t=a1w2u2&amp;q=XNAS%3aJD&amp;form=skydnc</v>
    <v>Learn more on Bing</v>
  </rv>
  <rv s="1">
    <v>en-GB</v>
    <v>a1w2u2</v>
    <v>268435456</v>
    <v>1</v>
    <v>Powered by Refinitiv</v>
    <v>0</v>
    <v>JD.COM, INC. (XNAS:JD)</v>
    <v>2</v>
    <v>3</v>
    <v>Finance</v>
    <v>4</v>
    <v>48.959000000000003</v>
    <v>20.82</v>
    <v>1.5651999999999999</v>
    <v>0.56000000000000005</v>
    <v>4.6239999999999996E-3</v>
    <v>2.4107E-2</v>
    <v>0.11</v>
    <v>USD</v>
    <v>JD.com Inc is a holding company mainly engaged in e-commerce business. The Company operates two segments. JD Retail segment consists of online retail, online marketplace and marketing services in China. The Company offers electronics products, home appliances and other general merchandise categories. The Company has its own online platform, which third-party merchants offer products on it. The Company provides marketing and display advertising services to third-party merchants, suppliers and other business partners on its website channels. New Businesses segment includes logistics services provided to third parties, overseas business, technology initiatives, as well as asset management services to logistics property investors and sale of development properties. It offers comprehensive supply chain solutions to third parties through JD Logistics, including warehousing, transportation, delivery and after-sales service. The Company mainly conducts its businesses in the China market.</v>
    <v>450679</v>
    <v>Nasdaq Stock Market</v>
    <v>XNAS</v>
    <v>XNAS</v>
    <v>No. 8 Beichen West Street, Chaoyang, 10/F, Bld A, North Star Century Center, BEIJING, BEIJING, 100101 CN</v>
    <v>24.23</v>
    <v>Diversified Retail</v>
    <v>Stock</v>
    <v>45343.943346654691</v>
    <v>0</v>
    <v>23.69</v>
    <v>291576000000</v>
    <v>JD.COM, INC.</v>
    <v>JD.COM, INC.</v>
    <v>23.9</v>
    <v>11.298999999999999</v>
    <v>23.23</v>
    <v>23.79</v>
    <v>23.9</v>
    <v>3179673000</v>
    <v>JD</v>
    <v>JD.COM, INC. (XNAS:JD)</v>
    <v>10626239</v>
    <v>15911395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27" formatCode="dd/mm/yyyy\ hh:mm"/>
    </x:dxf>
    <x:dxf>
      <x:numFmt numFmtId="14" formatCode="0.00%"/>
    </x:dxf>
    <x:dxf>
      <x:numFmt numFmtId="3" formatCode="#,##0"/>
    </x:dxf>
    <x:dxf>
      <x:numFmt numFmtId="0" formatCode="General"/>
    </x:dxf>
    <x:dxf>
      <x:numFmt numFmtId="4" formatCode="#,##0.00"/>
    </x:dxf>
  </dxfs>
  <richProperties>
    <rPr n="NumberFormat" t="s"/>
    <rPr n="IsTitleField" t="b"/>
  </richProperties>
  <richStyles>
    <rSty dxfid="4">
      <rpv i="0">_([$$-en-US]* #,##0.00_);_([$$-en-US]* (#,##0.00);_([$$-en-US]* "-"??_);_(@_)</rpv>
    </rSty>
    <rSty dxfid="5">
      <rpv i="0">#,##0.00</rpv>
    </rSty>
    <rSty>
      <rpv i="1">1</rpv>
    </rSty>
    <rSty dxfid="3">
      <rpv i="0">#,##0</rpv>
    </rSty>
    <rSty dxfid="2"/>
    <rSty dxfid="4">
      <rpv i="0">_-[$$-en-HK]* #,##0_-;-[$$-en-HK]* #,##0_-;_-[$$-en-HK]* "-"_-;_-@_-</rpv>
    </rSty>
    <rSty dxfid="1"/>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90EE6-683F-490D-BFAD-7C3E10DEBA70}">
  <dimension ref="A1:B7"/>
  <sheetViews>
    <sheetView workbookViewId="0">
      <selection activeCell="B8" sqref="B8"/>
    </sheetView>
  </sheetViews>
  <sheetFormatPr defaultRowHeight="15" x14ac:dyDescent="0.25"/>
  <cols>
    <col min="2" max="2" width="11.140625" bestFit="1" customWidth="1"/>
  </cols>
  <sheetData>
    <row r="1" spans="1:2" x14ac:dyDescent="0.25">
      <c r="A1" t="s">
        <v>0</v>
      </c>
      <c r="B1" t="e" vm="1">
        <v>#VALUE!</v>
      </c>
    </row>
    <row r="2" spans="1:2" x14ac:dyDescent="0.25">
      <c r="A2" t="s">
        <v>1</v>
      </c>
      <c r="B2" s="1" cm="1">
        <f t="array" ref="B2">_FV(B1,"Price")</f>
        <v>23.79</v>
      </c>
    </row>
    <row r="3" spans="1:2" x14ac:dyDescent="0.25">
      <c r="A3" t="s">
        <v>2</v>
      </c>
      <c r="B3">
        <v>1573.5</v>
      </c>
    </row>
    <row r="4" spans="1:2" x14ac:dyDescent="0.25">
      <c r="A4" t="s">
        <v>3</v>
      </c>
      <c r="B4" s="2">
        <f>B2*B3</f>
        <v>37433.564999999995</v>
      </c>
    </row>
    <row r="5" spans="1:2" x14ac:dyDescent="0.25">
      <c r="A5" t="s">
        <v>4</v>
      </c>
      <c r="B5">
        <v>33194.5</v>
      </c>
    </row>
    <row r="6" spans="1:2" x14ac:dyDescent="0.25">
      <c r="A6" t="s">
        <v>5</v>
      </c>
      <c r="B6">
        <v>9568.2999999999993</v>
      </c>
    </row>
    <row r="7" spans="1:2" x14ac:dyDescent="0.25">
      <c r="A7" t="s">
        <v>6</v>
      </c>
      <c r="B7" s="2">
        <f>B4-B5+B6</f>
        <v>13807.364999999994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AC137-E9D6-4D6B-A7BA-CF9873C6AC6B}">
  <dimension ref="B2:V36"/>
  <sheetViews>
    <sheetView tabSelected="1" workbookViewId="0">
      <pane xSplit="2" ySplit="2" topLeftCell="I12" activePane="bottomRight" state="frozen"/>
      <selection pane="topRight" activeCell="C1" sqref="C1"/>
      <selection pane="bottomLeft" activeCell="A3" sqref="A3"/>
      <selection pane="bottomRight" activeCell="J38" sqref="J38"/>
    </sheetView>
  </sheetViews>
  <sheetFormatPr defaultRowHeight="15" x14ac:dyDescent="0.25"/>
  <cols>
    <col min="2" max="2" width="25.140625" bestFit="1" customWidth="1"/>
    <col min="3" max="3" width="10.85546875" bestFit="1" customWidth="1"/>
    <col min="4" max="4" width="10.140625" bestFit="1" customWidth="1"/>
    <col min="5" max="6" width="9.28515625" bestFit="1" customWidth="1"/>
    <col min="7" max="7" width="10.85546875" bestFit="1" customWidth="1"/>
    <col min="8" max="9" width="10.140625" bestFit="1" customWidth="1"/>
    <col min="14" max="14" width="9.5703125" bestFit="1" customWidth="1"/>
  </cols>
  <sheetData>
    <row r="2" spans="2:22" x14ac:dyDescent="0.25">
      <c r="B2" t="s">
        <v>20</v>
      </c>
      <c r="C2" s="3" t="s">
        <v>19</v>
      </c>
      <c r="D2" s="3" t="s">
        <v>18</v>
      </c>
      <c r="E2" s="3" t="s">
        <v>13</v>
      </c>
      <c r="F2" s="3" t="s">
        <v>17</v>
      </c>
      <c r="G2" s="3" t="s">
        <v>16</v>
      </c>
      <c r="H2" s="3" t="s">
        <v>15</v>
      </c>
      <c r="I2" s="3" t="s">
        <v>14</v>
      </c>
      <c r="L2" s="3">
        <v>2020</v>
      </c>
      <c r="M2" s="3">
        <f>L2+1</f>
        <v>2021</v>
      </c>
      <c r="N2" s="3">
        <f t="shared" ref="N2:V2" si="0">M2+1</f>
        <v>2022</v>
      </c>
      <c r="O2" s="3">
        <f t="shared" si="0"/>
        <v>2023</v>
      </c>
      <c r="P2" s="3">
        <f t="shared" si="0"/>
        <v>2024</v>
      </c>
      <c r="Q2" s="3">
        <f t="shared" si="0"/>
        <v>2025</v>
      </c>
      <c r="R2" s="3">
        <f t="shared" si="0"/>
        <v>2026</v>
      </c>
      <c r="S2" s="3">
        <f t="shared" si="0"/>
        <v>2027</v>
      </c>
      <c r="T2" s="3">
        <f t="shared" si="0"/>
        <v>2028</v>
      </c>
      <c r="U2" s="3">
        <f t="shared" si="0"/>
        <v>2029</v>
      </c>
      <c r="V2" s="3">
        <f t="shared" si="0"/>
        <v>2030</v>
      </c>
    </row>
    <row r="3" spans="2:22" x14ac:dyDescent="0.25">
      <c r="B3" t="s">
        <v>7</v>
      </c>
      <c r="C3" s="4">
        <v>217524</v>
      </c>
      <c r="D3" s="4">
        <v>241557</v>
      </c>
      <c r="E3" s="4">
        <v>211923</v>
      </c>
      <c r="F3" s="4">
        <f>N3-SUM(C3:E3)</f>
        <v>258925</v>
      </c>
      <c r="G3" s="4">
        <v>212358</v>
      </c>
      <c r="H3" s="4">
        <v>253280</v>
      </c>
      <c r="I3" s="4">
        <v>212059</v>
      </c>
      <c r="L3" s="4">
        <v>693965</v>
      </c>
      <c r="M3" s="4">
        <v>866303</v>
      </c>
      <c r="N3" s="4">
        <v>929929</v>
      </c>
      <c r="O3" s="4"/>
      <c r="P3" s="4"/>
      <c r="Q3" s="4"/>
      <c r="R3" s="4"/>
      <c r="S3" s="4"/>
      <c r="T3" s="4"/>
      <c r="U3" s="4"/>
      <c r="V3" s="4"/>
    </row>
    <row r="4" spans="2:22" x14ac:dyDescent="0.25">
      <c r="B4" t="s">
        <v>8</v>
      </c>
      <c r="C4" s="4">
        <v>27351</v>
      </c>
      <c r="D4" s="4">
        <v>31272</v>
      </c>
      <c r="E4" s="4">
        <v>35771</v>
      </c>
      <c r="F4" s="4">
        <f t="shared" ref="F4:F7" si="1">N4-SUM(C4:E4)</f>
        <v>43008</v>
      </c>
      <c r="G4" s="4">
        <v>36728</v>
      </c>
      <c r="H4" s="4">
        <v>41033</v>
      </c>
      <c r="I4" s="4">
        <v>41663</v>
      </c>
      <c r="L4" s="4">
        <v>73375</v>
      </c>
      <c r="M4" s="4">
        <v>104693</v>
      </c>
      <c r="N4" s="4">
        <v>137402</v>
      </c>
      <c r="O4" s="4"/>
      <c r="P4" s="4"/>
      <c r="Q4" s="4"/>
      <c r="R4" s="4"/>
      <c r="S4" s="4"/>
      <c r="T4" s="4"/>
      <c r="U4" s="4"/>
      <c r="V4" s="4"/>
    </row>
    <row r="5" spans="2:22" x14ac:dyDescent="0.25">
      <c r="B5" t="s">
        <v>9</v>
      </c>
      <c r="C5" s="4">
        <v>688</v>
      </c>
      <c r="D5" s="4">
        <v>2281</v>
      </c>
      <c r="E5" s="4">
        <v>2380</v>
      </c>
      <c r="F5" s="4">
        <f t="shared" si="1"/>
        <v>2681</v>
      </c>
      <c r="G5" s="4">
        <v>2576</v>
      </c>
      <c r="H5" s="4">
        <v>2811</v>
      </c>
      <c r="I5" s="4">
        <v>2867</v>
      </c>
      <c r="L5" s="4">
        <v>0</v>
      </c>
      <c r="M5" s="4">
        <v>0</v>
      </c>
      <c r="N5" s="4">
        <v>8030</v>
      </c>
      <c r="O5" s="4"/>
      <c r="P5" s="4"/>
      <c r="Q5" s="4"/>
      <c r="R5" s="4"/>
      <c r="S5" s="4"/>
      <c r="T5" s="4"/>
      <c r="U5" s="4"/>
      <c r="V5" s="4"/>
    </row>
    <row r="6" spans="2:22" x14ac:dyDescent="0.25">
      <c r="B6" t="s">
        <v>10</v>
      </c>
      <c r="C6" s="4">
        <v>5756</v>
      </c>
      <c r="D6" s="4">
        <v>6265</v>
      </c>
      <c r="E6" s="4">
        <v>4997</v>
      </c>
      <c r="F6" s="4">
        <f t="shared" si="1"/>
        <v>4761</v>
      </c>
      <c r="G6" s="4">
        <v>3450</v>
      </c>
      <c r="H6" s="4">
        <v>4316</v>
      </c>
      <c r="I6" s="4">
        <v>3818</v>
      </c>
      <c r="L6" s="4">
        <v>17601</v>
      </c>
      <c r="M6" s="4">
        <v>26063</v>
      </c>
      <c r="N6" s="4">
        <v>21779</v>
      </c>
      <c r="O6" s="4"/>
      <c r="P6" s="4"/>
      <c r="Q6" s="4"/>
      <c r="R6" s="4"/>
      <c r="S6" s="4"/>
      <c r="T6" s="4"/>
      <c r="U6" s="4"/>
      <c r="V6" s="4"/>
    </row>
    <row r="7" spans="2:22" x14ac:dyDescent="0.25">
      <c r="B7" t="s">
        <v>11</v>
      </c>
      <c r="C7" s="4">
        <v>-11664</v>
      </c>
      <c r="D7" s="4">
        <v>-13775</v>
      </c>
      <c r="E7" s="4">
        <v>-11536</v>
      </c>
      <c r="F7" s="4">
        <f t="shared" si="1"/>
        <v>-13929</v>
      </c>
      <c r="G7" s="4">
        <v>-12156</v>
      </c>
      <c r="H7" s="4">
        <v>-13509</v>
      </c>
      <c r="I7" s="4">
        <v>-12709</v>
      </c>
      <c r="L7" s="4">
        <v>-39945</v>
      </c>
      <c r="M7" s="4">
        <v>-46043</v>
      </c>
      <c r="N7" s="4">
        <v>-50904</v>
      </c>
      <c r="O7" s="4"/>
      <c r="P7" s="4"/>
      <c r="Q7" s="4"/>
      <c r="R7" s="4"/>
      <c r="S7" s="4"/>
      <c r="T7" s="4"/>
      <c r="U7" s="4"/>
      <c r="V7" s="4"/>
    </row>
    <row r="8" spans="2:22" x14ac:dyDescent="0.25">
      <c r="B8" s="3" t="s">
        <v>12</v>
      </c>
      <c r="C8" s="5">
        <f t="shared" ref="C8" si="2">SUM(C3:C7)</f>
        <v>239655</v>
      </c>
      <c r="D8" s="5">
        <f t="shared" ref="D8" si="3">SUM(D3:D7)</f>
        <v>267600</v>
      </c>
      <c r="E8" s="5">
        <f t="shared" ref="E8" si="4">SUM(E3:E7)</f>
        <v>243535</v>
      </c>
      <c r="F8" s="5">
        <f t="shared" ref="F8" si="5">SUM(F3:F7)</f>
        <v>295446</v>
      </c>
      <c r="G8" s="5">
        <f t="shared" ref="G8" si="6">SUM(G3:G7)</f>
        <v>242956</v>
      </c>
      <c r="H8" s="5">
        <f t="shared" ref="H8" si="7">SUM(H3:H7)</f>
        <v>287931</v>
      </c>
      <c r="I8" s="5">
        <f t="shared" ref="I8" si="8">SUM(I3:I7)</f>
        <v>247698</v>
      </c>
      <c r="L8" s="5">
        <f t="shared" ref="L8" si="9">SUM(L3:L7)</f>
        <v>744996</v>
      </c>
      <c r="M8" s="5">
        <f t="shared" ref="L8:V8" si="10">SUM(M3:M7)</f>
        <v>951016</v>
      </c>
      <c r="N8" s="5">
        <f t="shared" si="10"/>
        <v>1046236</v>
      </c>
      <c r="O8" s="5">
        <f t="shared" si="10"/>
        <v>0</v>
      </c>
      <c r="P8" s="5">
        <f t="shared" si="10"/>
        <v>0</v>
      </c>
      <c r="Q8" s="5">
        <f t="shared" si="10"/>
        <v>0</v>
      </c>
      <c r="R8" s="5">
        <f t="shared" si="10"/>
        <v>0</v>
      </c>
      <c r="S8" s="5">
        <f t="shared" si="10"/>
        <v>0</v>
      </c>
      <c r="T8" s="5">
        <f t="shared" si="10"/>
        <v>0</v>
      </c>
      <c r="U8" s="5">
        <f t="shared" si="10"/>
        <v>0</v>
      </c>
      <c r="V8" s="5">
        <f t="shared" si="10"/>
        <v>0</v>
      </c>
    </row>
    <row r="9" spans="2:22" x14ac:dyDescent="0.25">
      <c r="B9" t="s">
        <v>21</v>
      </c>
      <c r="C9" s="4">
        <v>206209</v>
      </c>
      <c r="D9" s="4">
        <v>231706</v>
      </c>
      <c r="E9" s="4">
        <v>207339</v>
      </c>
      <c r="F9" s="4">
        <f>N9-SUM(C9:E9)</f>
        <v>253909</v>
      </c>
      <c r="G9" s="4">
        <v>206938</v>
      </c>
      <c r="H9" s="4">
        <v>246498</v>
      </c>
      <c r="I9" s="4">
        <v>208947</v>
      </c>
      <c r="L9" s="4">
        <v>636694</v>
      </c>
      <c r="M9" s="4">
        <v>822526</v>
      </c>
      <c r="N9" s="4">
        <v>899163</v>
      </c>
      <c r="O9" s="4"/>
      <c r="P9" s="4"/>
      <c r="Q9" s="4"/>
      <c r="R9" s="4"/>
      <c r="S9" s="4"/>
      <c r="T9" s="4"/>
      <c r="U9" s="4"/>
      <c r="V9" s="4"/>
    </row>
    <row r="10" spans="2:22" x14ac:dyDescent="0.25">
      <c r="B10" s="3" t="s">
        <v>22</v>
      </c>
      <c r="C10" s="5">
        <f t="shared" ref="C10:H10" si="11">C8-C9</f>
        <v>33446</v>
      </c>
      <c r="D10" s="5">
        <f t="shared" si="11"/>
        <v>35894</v>
      </c>
      <c r="E10" s="5">
        <f t="shared" si="11"/>
        <v>36196</v>
      </c>
      <c r="F10" s="5">
        <f t="shared" si="11"/>
        <v>41537</v>
      </c>
      <c r="G10" s="5">
        <f t="shared" si="11"/>
        <v>36018</v>
      </c>
      <c r="H10" s="5">
        <f t="shared" si="11"/>
        <v>41433</v>
      </c>
      <c r="I10" s="5">
        <f>I8-I9</f>
        <v>38751</v>
      </c>
      <c r="L10" s="5">
        <f t="shared" ref="L10" si="12">L8-L9</f>
        <v>108302</v>
      </c>
      <c r="M10" s="5">
        <f t="shared" ref="L10:V10" si="13">M8-M9</f>
        <v>128490</v>
      </c>
      <c r="N10" s="5">
        <f t="shared" si="13"/>
        <v>147073</v>
      </c>
      <c r="O10" s="5">
        <f t="shared" si="13"/>
        <v>0</v>
      </c>
      <c r="P10" s="5">
        <f t="shared" si="13"/>
        <v>0</v>
      </c>
      <c r="Q10" s="5">
        <f t="shared" si="13"/>
        <v>0</v>
      </c>
      <c r="R10" s="5">
        <f t="shared" si="13"/>
        <v>0</v>
      </c>
      <c r="S10" s="5">
        <f t="shared" si="13"/>
        <v>0</v>
      </c>
      <c r="T10" s="5">
        <f t="shared" si="13"/>
        <v>0</v>
      </c>
      <c r="U10" s="5">
        <f t="shared" si="13"/>
        <v>0</v>
      </c>
      <c r="V10" s="5">
        <f t="shared" si="13"/>
        <v>0</v>
      </c>
    </row>
    <row r="11" spans="2:22" x14ac:dyDescent="0.25">
      <c r="B11" t="s">
        <v>23</v>
      </c>
      <c r="C11" s="4">
        <v>15486</v>
      </c>
      <c r="D11" s="4">
        <v>16308</v>
      </c>
      <c r="E11" s="4">
        <v>14354</v>
      </c>
      <c r="F11" s="4">
        <f t="shared" ref="F11:F14" si="14">N11-SUM(C11:E11)</f>
        <v>16863</v>
      </c>
      <c r="G11" s="4">
        <v>15371</v>
      </c>
      <c r="H11" s="4">
        <v>16679</v>
      </c>
      <c r="I11" s="4">
        <v>15225</v>
      </c>
      <c r="L11" s="4">
        <v>48700</v>
      </c>
      <c r="M11" s="4">
        <v>59055</v>
      </c>
      <c r="N11" s="4">
        <v>63011</v>
      </c>
      <c r="O11" s="4"/>
      <c r="P11" s="4"/>
      <c r="Q11" s="4"/>
      <c r="R11" s="4"/>
      <c r="S11" s="4"/>
      <c r="T11" s="4"/>
      <c r="U11" s="4"/>
      <c r="V11" s="4"/>
    </row>
    <row r="12" spans="2:22" x14ac:dyDescent="0.25">
      <c r="B12" t="s">
        <v>24</v>
      </c>
      <c r="C12" s="4">
        <v>8705</v>
      </c>
      <c r="D12" s="4">
        <v>9477</v>
      </c>
      <c r="E12" s="4">
        <v>7605</v>
      </c>
      <c r="F12" s="4">
        <f t="shared" si="14"/>
        <v>11985</v>
      </c>
      <c r="G12" s="5">
        <v>8005</v>
      </c>
      <c r="H12" s="4">
        <v>11063</v>
      </c>
      <c r="I12" s="4">
        <v>7955</v>
      </c>
      <c r="L12" s="4">
        <v>27156</v>
      </c>
      <c r="M12" s="4">
        <v>38743</v>
      </c>
      <c r="N12" s="4">
        <v>37772</v>
      </c>
      <c r="O12" s="4"/>
      <c r="P12" s="4"/>
      <c r="Q12" s="4"/>
      <c r="R12" s="4"/>
      <c r="S12" s="4"/>
      <c r="T12" s="4"/>
      <c r="U12" s="4"/>
      <c r="V12" s="4"/>
    </row>
    <row r="13" spans="2:22" x14ac:dyDescent="0.25">
      <c r="B13" t="s">
        <v>25</v>
      </c>
      <c r="C13" s="4">
        <v>4384</v>
      </c>
      <c r="D13" s="4">
        <v>4027</v>
      </c>
      <c r="E13" s="4">
        <v>4116</v>
      </c>
      <c r="F13" s="4">
        <f t="shared" si="14"/>
        <v>4366</v>
      </c>
      <c r="G13" s="4">
        <v>4186</v>
      </c>
      <c r="H13" s="4">
        <v>4072</v>
      </c>
      <c r="I13" s="4">
        <v>3794</v>
      </c>
      <c r="L13" s="4">
        <v>16149</v>
      </c>
      <c r="M13" s="4">
        <v>16332</v>
      </c>
      <c r="N13" s="4">
        <v>16893</v>
      </c>
      <c r="O13" s="4"/>
      <c r="P13" s="4"/>
      <c r="Q13" s="4"/>
      <c r="R13" s="4"/>
      <c r="S13" s="4"/>
      <c r="T13" s="4"/>
      <c r="U13" s="4"/>
      <c r="V13" s="4"/>
    </row>
    <row r="14" spans="2:22" x14ac:dyDescent="0.25">
      <c r="B14" t="s">
        <v>26</v>
      </c>
      <c r="C14" s="4">
        <v>2462</v>
      </c>
      <c r="D14" s="4">
        <v>2324</v>
      </c>
      <c r="E14" s="4">
        <v>2622</v>
      </c>
      <c r="F14" s="4">
        <f t="shared" si="14"/>
        <v>3645</v>
      </c>
      <c r="G14" s="5">
        <v>2501</v>
      </c>
      <c r="H14" s="4">
        <v>2358</v>
      </c>
      <c r="I14" s="4">
        <v>2474</v>
      </c>
      <c r="L14" s="4">
        <v>6409</v>
      </c>
      <c r="M14" s="4">
        <v>11562</v>
      </c>
      <c r="N14" s="4">
        <v>11053</v>
      </c>
      <c r="O14" s="4"/>
      <c r="P14" s="4"/>
      <c r="Q14" s="4"/>
      <c r="R14" s="4"/>
      <c r="S14" s="4"/>
      <c r="T14" s="4"/>
      <c r="U14" s="4"/>
      <c r="V14" s="4"/>
    </row>
    <row r="15" spans="2:22" x14ac:dyDescent="0.25">
      <c r="B15" t="s">
        <v>28</v>
      </c>
      <c r="C15" s="4">
        <f t="shared" ref="C15:H15" si="15">SUM(C11:C14)</f>
        <v>31037</v>
      </c>
      <c r="D15" s="4">
        <f t="shared" si="15"/>
        <v>32136</v>
      </c>
      <c r="E15" s="4">
        <f t="shared" si="15"/>
        <v>28697</v>
      </c>
      <c r="F15" s="4">
        <f t="shared" si="15"/>
        <v>36859</v>
      </c>
      <c r="G15" s="4">
        <f t="shared" si="15"/>
        <v>30063</v>
      </c>
      <c r="H15" s="4">
        <f t="shared" si="15"/>
        <v>34172</v>
      </c>
      <c r="I15" s="4">
        <f>SUM(I11:I14)</f>
        <v>29448</v>
      </c>
      <c r="L15" s="4">
        <f t="shared" ref="L15" si="16">SUM(L11:L14)</f>
        <v>98414</v>
      </c>
      <c r="M15" s="4">
        <f t="shared" ref="L15:V15" si="17">SUM(M11:M14)</f>
        <v>125692</v>
      </c>
      <c r="N15" s="4">
        <f t="shared" si="17"/>
        <v>128729</v>
      </c>
      <c r="O15" s="4">
        <f t="shared" si="17"/>
        <v>0</v>
      </c>
      <c r="P15" s="4">
        <f t="shared" si="17"/>
        <v>0</v>
      </c>
      <c r="Q15" s="4">
        <f t="shared" si="17"/>
        <v>0</v>
      </c>
      <c r="R15" s="4">
        <f t="shared" si="17"/>
        <v>0</v>
      </c>
      <c r="S15" s="4">
        <f t="shared" si="17"/>
        <v>0</v>
      </c>
      <c r="T15" s="4">
        <f t="shared" si="17"/>
        <v>0</v>
      </c>
      <c r="U15" s="4">
        <f t="shared" si="17"/>
        <v>0</v>
      </c>
      <c r="V15" s="4">
        <f t="shared" si="17"/>
        <v>0</v>
      </c>
    </row>
    <row r="16" spans="2:22" x14ac:dyDescent="0.25">
      <c r="B16" s="3" t="s">
        <v>27</v>
      </c>
      <c r="C16" s="5">
        <f t="shared" ref="C16:H16" si="18">C10-C15</f>
        <v>2409</v>
      </c>
      <c r="D16" s="5">
        <f t="shared" si="18"/>
        <v>3758</v>
      </c>
      <c r="E16" s="5">
        <f t="shared" si="18"/>
        <v>7499</v>
      </c>
      <c r="F16" s="5">
        <f t="shared" si="18"/>
        <v>4678</v>
      </c>
      <c r="G16" s="5">
        <f t="shared" si="18"/>
        <v>5955</v>
      </c>
      <c r="H16" s="5">
        <f t="shared" si="18"/>
        <v>7261</v>
      </c>
      <c r="I16" s="5">
        <f>I10-I15</f>
        <v>9303</v>
      </c>
      <c r="L16" s="5">
        <f t="shared" ref="L16" si="19">L10-L15</f>
        <v>9888</v>
      </c>
      <c r="M16" s="5">
        <f t="shared" ref="L16:V16" si="20">M10-M15</f>
        <v>2798</v>
      </c>
      <c r="N16" s="5">
        <f t="shared" si="20"/>
        <v>18344</v>
      </c>
      <c r="O16" s="5">
        <f t="shared" si="20"/>
        <v>0</v>
      </c>
      <c r="P16" s="5">
        <f t="shared" si="20"/>
        <v>0</v>
      </c>
      <c r="Q16" s="5">
        <f t="shared" si="20"/>
        <v>0</v>
      </c>
      <c r="R16" s="5">
        <f t="shared" si="20"/>
        <v>0</v>
      </c>
      <c r="S16" s="5">
        <f t="shared" si="20"/>
        <v>0</v>
      </c>
      <c r="T16" s="5">
        <f t="shared" si="20"/>
        <v>0</v>
      </c>
      <c r="U16" s="5">
        <f t="shared" si="20"/>
        <v>0</v>
      </c>
      <c r="V16" s="5">
        <f t="shared" si="20"/>
        <v>0</v>
      </c>
    </row>
    <row r="17" spans="2:22" x14ac:dyDescent="0.25">
      <c r="B17" t="s">
        <v>29</v>
      </c>
      <c r="C17" s="4">
        <v>-1081</v>
      </c>
      <c r="D17" s="4">
        <v>-1604</v>
      </c>
      <c r="E17" s="4">
        <v>377</v>
      </c>
      <c r="F17" s="4">
        <f t="shared" ref="F17:F19" si="21">N17-SUM(C17:E17)</f>
        <v>113</v>
      </c>
      <c r="G17" s="4">
        <v>-821</v>
      </c>
      <c r="H17" s="4">
        <v>907</v>
      </c>
      <c r="I17" s="4">
        <v>427</v>
      </c>
      <c r="L17" s="4">
        <v>4291</v>
      </c>
      <c r="M17" s="4">
        <v>-4918</v>
      </c>
      <c r="N17" s="4">
        <v>-2195</v>
      </c>
      <c r="O17" s="4"/>
      <c r="P17" s="4"/>
      <c r="Q17" s="4"/>
      <c r="R17" s="4"/>
      <c r="S17" s="4"/>
      <c r="T17" s="4"/>
      <c r="U17" s="4"/>
      <c r="V17" s="4"/>
    </row>
    <row r="18" spans="2:22" x14ac:dyDescent="0.25">
      <c r="B18" t="s">
        <v>30</v>
      </c>
      <c r="C18" s="4">
        <v>-345</v>
      </c>
      <c r="D18" s="4">
        <v>-484</v>
      </c>
      <c r="E18" s="4">
        <v>-579</v>
      </c>
      <c r="F18" s="4">
        <f t="shared" si="21"/>
        <v>-698</v>
      </c>
      <c r="G18" s="4">
        <v>-590</v>
      </c>
      <c r="H18" s="4">
        <v>-654</v>
      </c>
      <c r="I18" s="4">
        <v>-710</v>
      </c>
      <c r="L18" s="4">
        <v>-1125</v>
      </c>
      <c r="M18" s="4">
        <v>-1213</v>
      </c>
      <c r="N18" s="4">
        <v>-2106</v>
      </c>
      <c r="O18" s="4"/>
      <c r="P18" s="4"/>
      <c r="Q18" s="4"/>
      <c r="R18" s="4"/>
      <c r="S18" s="4"/>
      <c r="T18" s="4"/>
      <c r="U18" s="4"/>
      <c r="V18" s="4"/>
    </row>
    <row r="19" spans="2:22" x14ac:dyDescent="0.25">
      <c r="B19" t="s">
        <v>31</v>
      </c>
      <c r="C19" s="4">
        <v>-3898</v>
      </c>
      <c r="D19" s="4">
        <v>3586</v>
      </c>
      <c r="E19" s="4">
        <v>-816</v>
      </c>
      <c r="F19" s="4">
        <f t="shared" si="21"/>
        <v>-427</v>
      </c>
      <c r="G19" s="4">
        <v>2792</v>
      </c>
      <c r="H19" s="4">
        <v>1211</v>
      </c>
      <c r="I19" s="4">
        <v>1782</v>
      </c>
      <c r="L19" s="4">
        <v>35310</v>
      </c>
      <c r="M19" s="4">
        <v>-590</v>
      </c>
      <c r="N19" s="4">
        <v>-1555</v>
      </c>
      <c r="O19" s="4"/>
      <c r="P19" s="4"/>
      <c r="Q19" s="4"/>
      <c r="R19" s="4"/>
      <c r="S19" s="4"/>
      <c r="T19" s="4"/>
      <c r="U19" s="4"/>
      <c r="V19" s="4"/>
    </row>
    <row r="20" spans="2:22" x14ac:dyDescent="0.25">
      <c r="B20" t="s">
        <v>32</v>
      </c>
      <c r="C20" s="4">
        <f t="shared" ref="C20:H20" si="22">C16+C17+C18+C19</f>
        <v>-2915</v>
      </c>
      <c r="D20" s="4">
        <f t="shared" si="22"/>
        <v>5256</v>
      </c>
      <c r="E20" s="4">
        <f t="shared" si="22"/>
        <v>6481</v>
      </c>
      <c r="F20" s="4">
        <f t="shared" si="22"/>
        <v>3666</v>
      </c>
      <c r="G20" s="4">
        <f t="shared" si="22"/>
        <v>7336</v>
      </c>
      <c r="H20" s="4">
        <f t="shared" si="22"/>
        <v>8725</v>
      </c>
      <c r="I20" s="4">
        <f>I16+I17+I18+I19</f>
        <v>10802</v>
      </c>
      <c r="L20" s="4">
        <f t="shared" ref="L20" si="23">L16+L17+L18+L19</f>
        <v>48364</v>
      </c>
      <c r="M20" s="4">
        <f t="shared" ref="L20:V20" si="24">M16+M17+M18+M19</f>
        <v>-3923</v>
      </c>
      <c r="N20" s="4">
        <f t="shared" si="24"/>
        <v>12488</v>
      </c>
      <c r="O20" s="4">
        <f t="shared" si="24"/>
        <v>0</v>
      </c>
      <c r="P20" s="4">
        <f t="shared" si="24"/>
        <v>0</v>
      </c>
      <c r="Q20" s="4">
        <f t="shared" si="24"/>
        <v>0</v>
      </c>
      <c r="R20" s="4">
        <f t="shared" si="24"/>
        <v>0</v>
      </c>
      <c r="S20" s="4">
        <f t="shared" si="24"/>
        <v>0</v>
      </c>
      <c r="T20" s="4">
        <f t="shared" si="24"/>
        <v>0</v>
      </c>
      <c r="U20" s="4">
        <f t="shared" si="24"/>
        <v>0</v>
      </c>
      <c r="V20" s="4">
        <f t="shared" si="24"/>
        <v>0</v>
      </c>
    </row>
    <row r="21" spans="2:22" x14ac:dyDescent="0.25">
      <c r="B21" t="s">
        <v>33</v>
      </c>
      <c r="C21" s="4">
        <v>603</v>
      </c>
      <c r="D21" s="4">
        <v>1227</v>
      </c>
      <c r="E21" s="4">
        <v>1751</v>
      </c>
      <c r="F21" s="4">
        <f>N21-SUM(C21:E21)</f>
        <v>595</v>
      </c>
      <c r="G21" s="4">
        <v>1609</v>
      </c>
      <c r="H21" s="4">
        <v>2811</v>
      </c>
      <c r="I21" s="4">
        <v>2579</v>
      </c>
      <c r="L21" s="4">
        <v>1482</v>
      </c>
      <c r="M21" s="4">
        <v>1887</v>
      </c>
      <c r="N21" s="4">
        <v>4176</v>
      </c>
      <c r="O21" s="4"/>
      <c r="P21" s="4"/>
      <c r="Q21" s="4"/>
      <c r="R21" s="4"/>
      <c r="S21" s="4"/>
      <c r="T21" s="4"/>
      <c r="U21" s="4"/>
      <c r="V21" s="4"/>
    </row>
    <row r="22" spans="2:22" x14ac:dyDescent="0.25">
      <c r="B22" s="3" t="s">
        <v>34</v>
      </c>
      <c r="C22" s="5">
        <f t="shared" ref="C22:D22" si="25">C20-C21</f>
        <v>-3518</v>
      </c>
      <c r="D22" s="5">
        <f t="shared" si="25"/>
        <v>4029</v>
      </c>
      <c r="E22" s="5">
        <f>E20-E21</f>
        <v>4730</v>
      </c>
      <c r="F22" s="5">
        <f t="shared" ref="F22:I22" si="26">F20-F21</f>
        <v>3071</v>
      </c>
      <c r="G22" s="5">
        <f t="shared" si="26"/>
        <v>5727</v>
      </c>
      <c r="H22" s="5">
        <f t="shared" si="26"/>
        <v>5914</v>
      </c>
      <c r="I22" s="5">
        <f t="shared" si="26"/>
        <v>8223</v>
      </c>
      <c r="L22" s="5">
        <f t="shared" ref="L22" si="27">L20-L21</f>
        <v>46882</v>
      </c>
      <c r="M22" s="5">
        <f t="shared" ref="L22:V22" si="28">M20-M21</f>
        <v>-5810</v>
      </c>
      <c r="N22" s="5">
        <f t="shared" si="28"/>
        <v>8312</v>
      </c>
      <c r="O22" s="5">
        <f t="shared" si="28"/>
        <v>0</v>
      </c>
      <c r="P22" s="5">
        <f t="shared" si="28"/>
        <v>0</v>
      </c>
      <c r="Q22" s="5">
        <f t="shared" si="28"/>
        <v>0</v>
      </c>
      <c r="R22" s="5">
        <f t="shared" si="28"/>
        <v>0</v>
      </c>
      <c r="S22" s="5">
        <f t="shared" si="28"/>
        <v>0</v>
      </c>
      <c r="T22" s="5">
        <f t="shared" si="28"/>
        <v>0</v>
      </c>
      <c r="U22" s="5">
        <f t="shared" si="28"/>
        <v>0</v>
      </c>
      <c r="V22" s="5">
        <f t="shared" si="28"/>
        <v>0</v>
      </c>
    </row>
    <row r="24" spans="2:22" x14ac:dyDescent="0.25">
      <c r="B24" t="s">
        <v>35</v>
      </c>
      <c r="C24" s="6"/>
      <c r="D24" s="6"/>
      <c r="E24" s="6"/>
      <c r="F24" s="6"/>
      <c r="G24" s="6">
        <f t="shared" ref="G24:H24" si="29">G8/C8-1</f>
        <v>1.3773966743860999E-2</v>
      </c>
      <c r="H24" s="6">
        <f t="shared" si="29"/>
        <v>7.5975336322869902E-2</v>
      </c>
      <c r="I24" s="6">
        <f>I8/E8-1</f>
        <v>1.7094052189623676E-2</v>
      </c>
      <c r="L24" s="6"/>
      <c r="M24" s="6">
        <f t="shared" ref="M24:N24" si="30">M8/L8-1</f>
        <v>0.27653839752159737</v>
      </c>
      <c r="N24" s="6">
        <f>N8/M8-1</f>
        <v>0.10012449843115157</v>
      </c>
      <c r="O24" s="6"/>
      <c r="P24" s="6"/>
      <c r="Q24" s="6"/>
      <c r="R24" s="6"/>
      <c r="S24" s="6"/>
      <c r="T24" s="6"/>
      <c r="U24" s="6"/>
      <c r="V24" s="6"/>
    </row>
    <row r="25" spans="2:22" x14ac:dyDescent="0.25">
      <c r="B25" t="s">
        <v>36</v>
      </c>
      <c r="C25" s="7">
        <f t="shared" ref="C25:H25" si="31">C10/C8</f>
        <v>0.13955894932298513</v>
      </c>
      <c r="D25" s="7">
        <f t="shared" si="31"/>
        <v>0.13413303437967114</v>
      </c>
      <c r="E25" s="7">
        <f t="shared" si="31"/>
        <v>0.14862750733980742</v>
      </c>
      <c r="F25" s="7">
        <f t="shared" si="31"/>
        <v>0.14059083555032054</v>
      </c>
      <c r="G25" s="7">
        <f t="shared" si="31"/>
        <v>0.1482490656744431</v>
      </c>
      <c r="H25" s="7">
        <f t="shared" si="31"/>
        <v>0.14389905914958792</v>
      </c>
      <c r="I25" s="7">
        <f>I10/I8</f>
        <v>0.15644454133662766</v>
      </c>
      <c r="L25" s="7">
        <f t="shared" ref="L25" si="32">L10/L8</f>
        <v>0.14537259260452406</v>
      </c>
      <c r="M25" s="7">
        <f t="shared" ref="L25:V25" si="33">M10/M8</f>
        <v>0.13510813698192248</v>
      </c>
      <c r="N25" s="7">
        <f t="shared" si="33"/>
        <v>0.14057344614408221</v>
      </c>
      <c r="O25" s="7" t="e">
        <f t="shared" si="33"/>
        <v>#DIV/0!</v>
      </c>
      <c r="P25" s="7" t="e">
        <f t="shared" si="33"/>
        <v>#DIV/0!</v>
      </c>
      <c r="Q25" s="7" t="e">
        <f t="shared" si="33"/>
        <v>#DIV/0!</v>
      </c>
      <c r="R25" s="7" t="e">
        <f t="shared" si="33"/>
        <v>#DIV/0!</v>
      </c>
      <c r="S25" s="7" t="e">
        <f t="shared" si="33"/>
        <v>#DIV/0!</v>
      </c>
      <c r="T25" s="7" t="e">
        <f t="shared" si="33"/>
        <v>#DIV/0!</v>
      </c>
      <c r="U25" s="7" t="e">
        <f t="shared" si="33"/>
        <v>#DIV/0!</v>
      </c>
      <c r="V25" s="7" t="e">
        <f t="shared" si="33"/>
        <v>#DIV/0!</v>
      </c>
    </row>
    <row r="26" spans="2:22" x14ac:dyDescent="0.25">
      <c r="B26" t="s">
        <v>37</v>
      </c>
      <c r="C26" s="7">
        <f t="shared" ref="C26:H26" si="34">C16/C8</f>
        <v>1.0051949677661638E-2</v>
      </c>
      <c r="D26" s="7">
        <f t="shared" si="34"/>
        <v>1.4043348281016442E-2</v>
      </c>
      <c r="E26" s="7">
        <f t="shared" si="34"/>
        <v>3.0792288582749912E-2</v>
      </c>
      <c r="F26" s="7">
        <f t="shared" si="34"/>
        <v>1.5833688728227831E-2</v>
      </c>
      <c r="G26" s="7">
        <f t="shared" si="34"/>
        <v>2.4510610974826718E-2</v>
      </c>
      <c r="H26" s="7">
        <f t="shared" si="34"/>
        <v>2.5217847331478721E-2</v>
      </c>
      <c r="I26" s="7">
        <f>I16/I8</f>
        <v>3.7557832521861297E-2</v>
      </c>
      <c r="L26" s="7">
        <f t="shared" ref="L26" si="35">L16/L8</f>
        <v>1.3272554483514006E-2</v>
      </c>
      <c r="M26" s="7">
        <f t="shared" ref="L26:V26" si="36">M16/M8</f>
        <v>2.9421166415706992E-3</v>
      </c>
      <c r="N26" s="7">
        <f t="shared" si="36"/>
        <v>1.7533329000340266E-2</v>
      </c>
      <c r="O26" s="7" t="e">
        <f t="shared" si="36"/>
        <v>#DIV/0!</v>
      </c>
      <c r="P26" s="7" t="e">
        <f t="shared" si="36"/>
        <v>#DIV/0!</v>
      </c>
      <c r="Q26" s="7" t="e">
        <f t="shared" si="36"/>
        <v>#DIV/0!</v>
      </c>
      <c r="R26" s="7" t="e">
        <f t="shared" si="36"/>
        <v>#DIV/0!</v>
      </c>
      <c r="S26" s="7" t="e">
        <f t="shared" si="36"/>
        <v>#DIV/0!</v>
      </c>
      <c r="T26" s="7" t="e">
        <f t="shared" si="36"/>
        <v>#DIV/0!</v>
      </c>
      <c r="U26" s="7" t="e">
        <f t="shared" si="36"/>
        <v>#DIV/0!</v>
      </c>
      <c r="V26" s="7" t="e">
        <f t="shared" si="36"/>
        <v>#DIV/0!</v>
      </c>
    </row>
    <row r="27" spans="2:22" x14ac:dyDescent="0.25">
      <c r="B27" t="s">
        <v>38</v>
      </c>
      <c r="C27" s="7">
        <f t="shared" ref="C27:H27" si="37">C22/C8</f>
        <v>-1.4679435021176274E-2</v>
      </c>
      <c r="D27" s="7">
        <f t="shared" si="37"/>
        <v>1.5056053811659193E-2</v>
      </c>
      <c r="E27" s="7">
        <f t="shared" si="37"/>
        <v>1.9422259634138829E-2</v>
      </c>
      <c r="F27" s="7">
        <f t="shared" si="37"/>
        <v>1.0394454485760511E-2</v>
      </c>
      <c r="G27" s="7">
        <f t="shared" si="37"/>
        <v>2.3572169446319499E-2</v>
      </c>
      <c r="H27" s="7">
        <f t="shared" si="37"/>
        <v>2.0539643178400381E-2</v>
      </c>
      <c r="I27" s="7">
        <f>I22/I8</f>
        <v>3.3197684276820967E-2</v>
      </c>
      <c r="L27" s="7">
        <f t="shared" ref="L27" si="38">L22/L8</f>
        <v>6.2929196935285564E-2</v>
      </c>
      <c r="M27" s="7">
        <f t="shared" ref="L27:V27" si="39">M22/M8</f>
        <v>-6.1092557853916233E-3</v>
      </c>
      <c r="N27" s="7">
        <f t="shared" si="39"/>
        <v>7.9446702273674383E-3</v>
      </c>
      <c r="O27" s="7" t="e">
        <f t="shared" si="39"/>
        <v>#DIV/0!</v>
      </c>
      <c r="P27" s="7" t="e">
        <f t="shared" si="39"/>
        <v>#DIV/0!</v>
      </c>
      <c r="Q27" s="7" t="e">
        <f t="shared" si="39"/>
        <v>#DIV/0!</v>
      </c>
      <c r="R27" s="7" t="e">
        <f t="shared" si="39"/>
        <v>#DIV/0!</v>
      </c>
      <c r="S27" s="7" t="e">
        <f t="shared" si="39"/>
        <v>#DIV/0!</v>
      </c>
      <c r="T27" s="7" t="e">
        <f t="shared" si="39"/>
        <v>#DIV/0!</v>
      </c>
      <c r="U27" s="7" t="e">
        <f t="shared" si="39"/>
        <v>#DIV/0!</v>
      </c>
      <c r="V27" s="7" t="e">
        <f t="shared" si="39"/>
        <v>#DIV/0!</v>
      </c>
    </row>
    <row r="29" spans="2:22" x14ac:dyDescent="0.25">
      <c r="B29" t="s">
        <v>39</v>
      </c>
      <c r="C29" s="4">
        <f>-3485-1734</f>
        <v>-5219</v>
      </c>
      <c r="D29" s="4">
        <f>33667+1802</f>
        <v>35469</v>
      </c>
      <c r="E29" s="4">
        <f>9151-1506</f>
        <v>7645</v>
      </c>
      <c r="F29" s="4"/>
      <c r="G29" s="4">
        <f>-21607-582</f>
        <v>-22189</v>
      </c>
      <c r="H29" s="4">
        <f>46511+1586</f>
        <v>48097</v>
      </c>
      <c r="I29" s="4">
        <f>15004-1747</f>
        <v>13257</v>
      </c>
      <c r="L29" s="4">
        <v>42544</v>
      </c>
      <c r="M29" s="4">
        <v>42301</v>
      </c>
      <c r="N29" s="4">
        <v>57819</v>
      </c>
      <c r="O29" s="4"/>
      <c r="P29" s="4"/>
      <c r="Q29" s="4"/>
      <c r="R29" s="4"/>
      <c r="S29" s="4"/>
      <c r="T29" s="4"/>
      <c r="U29" s="4"/>
      <c r="V29" s="4"/>
    </row>
    <row r="30" spans="2:22" x14ac:dyDescent="0.25">
      <c r="B30" t="s">
        <v>40</v>
      </c>
      <c r="C30" s="4">
        <f>2676+902</f>
        <v>3578</v>
      </c>
      <c r="D30" s="4">
        <f>4947+513</f>
        <v>5460</v>
      </c>
      <c r="E30" s="4">
        <f>3784+1522</f>
        <v>5306</v>
      </c>
      <c r="F30" s="4"/>
      <c r="G30" s="4">
        <f>2145+1068</f>
        <v>3213</v>
      </c>
      <c r="H30" s="4">
        <f>2363+1244</f>
        <v>3607</v>
      </c>
      <c r="I30" s="4">
        <f>3013+1980</f>
        <v>4993</v>
      </c>
      <c r="L30" s="4">
        <v>3370</v>
      </c>
      <c r="M30" s="4">
        <v>5562</v>
      </c>
      <c r="N30" s="4">
        <v>5495</v>
      </c>
      <c r="O30" s="4"/>
      <c r="P30" s="4"/>
      <c r="Q30" s="4"/>
      <c r="R30" s="4"/>
      <c r="S30" s="4"/>
      <c r="T30" s="4"/>
      <c r="U30" s="4"/>
      <c r="V30" s="4"/>
    </row>
    <row r="31" spans="2:22" x14ac:dyDescent="0.25">
      <c r="B31" t="s">
        <v>41</v>
      </c>
      <c r="C31" s="4">
        <f t="shared" ref="C31:G31" si="40">C29-C30</f>
        <v>-8797</v>
      </c>
      <c r="D31" s="4">
        <f t="shared" si="40"/>
        <v>30009</v>
      </c>
      <c r="E31" s="4">
        <f t="shared" si="40"/>
        <v>2339</v>
      </c>
      <c r="F31" s="4">
        <f t="shared" si="40"/>
        <v>0</v>
      </c>
      <c r="G31" s="4">
        <f t="shared" si="40"/>
        <v>-25402</v>
      </c>
      <c r="H31" s="4">
        <f>H29-H30</f>
        <v>44490</v>
      </c>
      <c r="I31" s="4">
        <f t="shared" ref="I31" si="41">I29-I30</f>
        <v>8264</v>
      </c>
      <c r="L31" s="4">
        <f t="shared" ref="L31" si="42">L29-L30</f>
        <v>39174</v>
      </c>
      <c r="M31" s="4">
        <f t="shared" ref="L31:V31" si="43">M29-M30</f>
        <v>36739</v>
      </c>
      <c r="N31" s="4">
        <f t="shared" si="43"/>
        <v>52324</v>
      </c>
      <c r="O31" s="4">
        <f t="shared" si="43"/>
        <v>0</v>
      </c>
      <c r="P31" s="4">
        <f t="shared" si="43"/>
        <v>0</v>
      </c>
      <c r="Q31" s="4">
        <f t="shared" si="43"/>
        <v>0</v>
      </c>
      <c r="R31" s="4">
        <f t="shared" si="43"/>
        <v>0</v>
      </c>
      <c r="S31" s="4">
        <f t="shared" si="43"/>
        <v>0</v>
      </c>
      <c r="T31" s="4">
        <f t="shared" si="43"/>
        <v>0</v>
      </c>
      <c r="U31" s="4">
        <f t="shared" si="43"/>
        <v>0</v>
      </c>
      <c r="V31" s="4">
        <f t="shared" si="43"/>
        <v>0</v>
      </c>
    </row>
    <row r="32" spans="2:22" x14ac:dyDescent="0.25">
      <c r="B32" t="s">
        <v>42</v>
      </c>
      <c r="C32" s="8">
        <f>C31*0.14</f>
        <v>-1231.5800000000002</v>
      </c>
      <c r="D32" s="8">
        <f t="shared" ref="D32:I32" si="44">D31*0.14</f>
        <v>4201.26</v>
      </c>
      <c r="E32" s="8">
        <f t="shared" si="44"/>
        <v>327.46000000000004</v>
      </c>
      <c r="F32" s="8">
        <f t="shared" si="44"/>
        <v>0</v>
      </c>
      <c r="G32" s="8">
        <f t="shared" si="44"/>
        <v>-3556.28</v>
      </c>
      <c r="H32" s="8">
        <f t="shared" si="44"/>
        <v>6228.6</v>
      </c>
      <c r="I32" s="8">
        <f t="shared" si="44"/>
        <v>1156.96</v>
      </c>
      <c r="L32" s="8">
        <f t="shared" ref="L32" si="45">L31*0.14</f>
        <v>5484.3600000000006</v>
      </c>
      <c r="M32" s="8">
        <f t="shared" ref="L32:V32" si="46">M31*0.14</f>
        <v>5143.46</v>
      </c>
      <c r="N32" s="8">
        <f t="shared" si="46"/>
        <v>7325.3600000000006</v>
      </c>
      <c r="O32" s="8">
        <f t="shared" si="46"/>
        <v>0</v>
      </c>
      <c r="P32" s="8">
        <f t="shared" si="46"/>
        <v>0</v>
      </c>
      <c r="Q32" s="8">
        <f t="shared" si="46"/>
        <v>0</v>
      </c>
      <c r="R32" s="8">
        <f t="shared" si="46"/>
        <v>0</v>
      </c>
      <c r="S32" s="8">
        <f t="shared" si="46"/>
        <v>0</v>
      </c>
      <c r="T32" s="8">
        <f t="shared" si="46"/>
        <v>0</v>
      </c>
      <c r="U32" s="8">
        <f t="shared" si="46"/>
        <v>0</v>
      </c>
      <c r="V32" s="8">
        <f t="shared" si="46"/>
        <v>0</v>
      </c>
    </row>
    <row r="34" spans="2:14" x14ac:dyDescent="0.25">
      <c r="B34" t="s">
        <v>43</v>
      </c>
      <c r="L34" s="4">
        <v>4156</v>
      </c>
      <c r="M34" s="4">
        <v>9134</v>
      </c>
      <c r="N34" s="4">
        <v>7548</v>
      </c>
    </row>
    <row r="35" spans="2:14" x14ac:dyDescent="0.25">
      <c r="L35" s="4"/>
      <c r="M35" s="4"/>
      <c r="N35" s="4"/>
    </row>
    <row r="36" spans="2:14" x14ac:dyDescent="0.25">
      <c r="B36" t="s">
        <v>44</v>
      </c>
      <c r="L36" s="4"/>
      <c r="M36" s="4">
        <f>7417+1+148607-2869-9461</f>
        <v>143695</v>
      </c>
      <c r="N36" s="4">
        <f>5029+162015-10347</f>
        <v>156697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2024-02-20T19:40:57Z</dcterms:created>
  <dcterms:modified xsi:type="dcterms:W3CDTF">2024-02-21T22:40:43Z</dcterms:modified>
</cp:coreProperties>
</file>