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l59357_aln_iseg_ulisboa_pt/Documents/Models/"/>
    </mc:Choice>
  </mc:AlternateContent>
  <xr:revisionPtr revIDLastSave="390" documentId="8_{9B49381A-C574-4C1E-A3CB-1E81EB64E4D6}" xr6:coauthVersionLast="47" xr6:coauthVersionMax="47" xr10:uidLastSave="{7C626F4E-1CD6-48F6-AAA0-05B2BD766C88}"/>
  <bookViews>
    <workbookView xWindow="-108" yWindow="-108" windowWidth="23256" windowHeight="12456" activeTab="1" xr2:uid="{26CBC03E-E758-4645-A528-6F626C485304}"/>
  </bookViews>
  <sheets>
    <sheet name="main" sheetId="1" r:id="rId1"/>
    <sheet name="model" sheetId="2" r:id="rId2"/>
    <sheet name="manag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9" i="2" l="1"/>
  <c r="V29" i="2"/>
  <c r="U29" i="2"/>
  <c r="T29" i="2"/>
  <c r="S29" i="2"/>
  <c r="R29" i="2"/>
  <c r="Q29" i="2"/>
  <c r="R28" i="2"/>
  <c r="S28" i="2" s="1"/>
  <c r="T28" i="2" s="1"/>
  <c r="U28" i="2" s="1"/>
  <c r="V28" i="2" s="1"/>
  <c r="W28" i="2" s="1"/>
  <c r="Q28" i="2"/>
  <c r="U11" i="2"/>
  <c r="V11" i="2" s="1"/>
  <c r="W11" i="2" s="1"/>
  <c r="T11" i="2"/>
  <c r="S11" i="2"/>
  <c r="R11" i="2"/>
  <c r="R10" i="2"/>
  <c r="Q10" i="2"/>
  <c r="P60" i="2"/>
  <c r="L7" i="1"/>
  <c r="L6" i="1"/>
  <c r="R17" i="2"/>
  <c r="S17" i="2" s="1"/>
  <c r="T17" i="2" s="1"/>
  <c r="U17" i="2" s="1"/>
  <c r="V17" i="2" s="1"/>
  <c r="W17" i="2" s="1"/>
  <c r="Q17" i="2"/>
  <c r="S22" i="2"/>
  <c r="T22" i="2" s="1"/>
  <c r="U22" i="2" s="1"/>
  <c r="V22" i="2" s="1"/>
  <c r="W22" i="2" s="1"/>
  <c r="R22" i="2"/>
  <c r="Q22" i="2"/>
  <c r="R12" i="2"/>
  <c r="S12" i="2" s="1"/>
  <c r="T12" i="2" s="1"/>
  <c r="U12" i="2" s="1"/>
  <c r="V12" i="2" s="1"/>
  <c r="W12" i="2" s="1"/>
  <c r="Q12" i="2"/>
  <c r="Q11" i="2"/>
  <c r="Q15" i="2"/>
  <c r="Q21" i="2" l="1"/>
  <c r="Q18" i="2"/>
  <c r="Q16" i="2"/>
  <c r="Q20" i="2"/>
  <c r="Q19" i="2"/>
  <c r="Q38" i="2"/>
  <c r="P15" i="2"/>
  <c r="O45" i="2"/>
  <c r="N45" i="2"/>
  <c r="P45" i="2"/>
  <c r="N23" i="2"/>
  <c r="N15" i="2"/>
  <c r="F26" i="2"/>
  <c r="F22" i="2"/>
  <c r="F21" i="2"/>
  <c r="F20" i="2"/>
  <c r="F19" i="2"/>
  <c r="F18" i="2"/>
  <c r="F17" i="2"/>
  <c r="F16" i="2"/>
  <c r="F13" i="2"/>
  <c r="F12" i="2"/>
  <c r="F11" i="2"/>
  <c r="F10" i="2"/>
  <c r="P37" i="2"/>
  <c r="P35" i="2"/>
  <c r="P34" i="2"/>
  <c r="P23" i="2"/>
  <c r="P58" i="2" s="1"/>
  <c r="O23" i="2"/>
  <c r="O15" i="2"/>
  <c r="P2" i="2"/>
  <c r="Q2" i="2" s="1"/>
  <c r="R2" i="2" s="1"/>
  <c r="S2" i="2" s="1"/>
  <c r="T2" i="2" s="1"/>
  <c r="U2" i="2" s="1"/>
  <c r="V2" i="2" s="1"/>
  <c r="W2" i="2" s="1"/>
  <c r="G37" i="2"/>
  <c r="G36" i="2"/>
  <c r="G35" i="2"/>
  <c r="G34" i="2"/>
  <c r="H33" i="2"/>
  <c r="H32" i="2"/>
  <c r="H31" i="2"/>
  <c r="D48" i="2"/>
  <c r="H48" i="2"/>
  <c r="I48" i="2" s="1"/>
  <c r="G45" i="2"/>
  <c r="C45" i="2"/>
  <c r="D44" i="2"/>
  <c r="E44" i="2" s="1"/>
  <c r="F44" i="2" s="1"/>
  <c r="D43" i="2"/>
  <c r="E43" i="2" s="1"/>
  <c r="F43" i="2" s="1"/>
  <c r="H44" i="2"/>
  <c r="I44" i="2" s="1"/>
  <c r="H43" i="2"/>
  <c r="I43" i="2" s="1"/>
  <c r="H37" i="2"/>
  <c r="H36" i="2"/>
  <c r="H35" i="2"/>
  <c r="H34" i="2"/>
  <c r="I23" i="2"/>
  <c r="I51" i="2"/>
  <c r="I33" i="2"/>
  <c r="I32" i="2"/>
  <c r="I31" i="2"/>
  <c r="I37" i="2"/>
  <c r="I36" i="2"/>
  <c r="I35" i="2"/>
  <c r="I34" i="2"/>
  <c r="H23" i="2"/>
  <c r="H58" i="2" s="1"/>
  <c r="G23" i="2"/>
  <c r="E23" i="2"/>
  <c r="E58" i="2" s="1"/>
  <c r="D23" i="2"/>
  <c r="D58" i="2" s="1"/>
  <c r="C23" i="2"/>
  <c r="L15" i="2"/>
  <c r="K15" i="2"/>
  <c r="J15" i="2"/>
  <c r="H15" i="2"/>
  <c r="G15" i="2"/>
  <c r="D15" i="2"/>
  <c r="C15" i="2"/>
  <c r="E15" i="2"/>
  <c r="I15" i="2"/>
  <c r="L3" i="1" a="1"/>
  <c r="L3" i="1" s="1"/>
  <c r="L5" i="1" s="1"/>
  <c r="L8" i="1" s="1"/>
  <c r="Q23" i="2" l="1"/>
  <c r="Q25" i="2" s="1"/>
  <c r="G56" i="2"/>
  <c r="G57" i="2"/>
  <c r="G55" i="2"/>
  <c r="G58" i="2"/>
  <c r="O58" i="2"/>
  <c r="R15" i="2"/>
  <c r="S10" i="2"/>
  <c r="P38" i="2"/>
  <c r="O55" i="2"/>
  <c r="O57" i="2"/>
  <c r="O56" i="2"/>
  <c r="I58" i="2"/>
  <c r="C57" i="2"/>
  <c r="C55" i="2"/>
  <c r="C56" i="2"/>
  <c r="F55" i="2"/>
  <c r="I57" i="2"/>
  <c r="I56" i="2"/>
  <c r="I55" i="2"/>
  <c r="D55" i="2"/>
  <c r="D56" i="2"/>
  <c r="D57" i="2"/>
  <c r="H57" i="2"/>
  <c r="H56" i="2"/>
  <c r="H55" i="2"/>
  <c r="E55" i="2"/>
  <c r="E56" i="2"/>
  <c r="E57" i="2"/>
  <c r="C58" i="2"/>
  <c r="F57" i="2"/>
  <c r="P55" i="2"/>
  <c r="P57" i="2"/>
  <c r="P56" i="2"/>
  <c r="H38" i="2"/>
  <c r="N25" i="2"/>
  <c r="N27" i="2" s="1"/>
  <c r="N29" i="2" s="1"/>
  <c r="F45" i="2"/>
  <c r="O25" i="2"/>
  <c r="I25" i="2"/>
  <c r="I38" i="2"/>
  <c r="G38" i="2"/>
  <c r="F23" i="2"/>
  <c r="F15" i="2"/>
  <c r="F56" i="2" s="1"/>
  <c r="P25" i="2"/>
  <c r="D45" i="2"/>
  <c r="H45" i="2"/>
  <c r="H49" i="2" s="1"/>
  <c r="E48" i="2"/>
  <c r="I45" i="2"/>
  <c r="I49" i="2" s="1"/>
  <c r="H25" i="2"/>
  <c r="E45" i="2"/>
  <c r="G25" i="2"/>
  <c r="C25" i="2"/>
  <c r="D25" i="2"/>
  <c r="E25" i="2"/>
  <c r="E27" i="2" l="1"/>
  <c r="E40" i="2"/>
  <c r="F58" i="2"/>
  <c r="C27" i="2"/>
  <c r="C40" i="2"/>
  <c r="H27" i="2"/>
  <c r="H40" i="2"/>
  <c r="O27" i="2"/>
  <c r="O29" i="2" s="1"/>
  <c r="O40" i="2"/>
  <c r="D27" i="2"/>
  <c r="D40" i="2"/>
  <c r="T10" i="2"/>
  <c r="S15" i="2"/>
  <c r="S38" i="2" s="1"/>
  <c r="G27" i="2"/>
  <c r="G40" i="2"/>
  <c r="Q26" i="2"/>
  <c r="Q27" i="2" s="1"/>
  <c r="Q40" i="2"/>
  <c r="P27" i="2"/>
  <c r="P29" i="2" s="1"/>
  <c r="P40" i="2"/>
  <c r="R21" i="2"/>
  <c r="R20" i="2"/>
  <c r="R18" i="2"/>
  <c r="R16" i="2"/>
  <c r="R19" i="2"/>
  <c r="R38" i="2"/>
  <c r="I27" i="2"/>
  <c r="I40" i="2"/>
  <c r="I46" i="2"/>
  <c r="L15" i="1" s="1"/>
  <c r="D49" i="2"/>
  <c r="G46" i="2"/>
  <c r="E49" i="2"/>
  <c r="H46" i="2"/>
  <c r="F46" i="2"/>
  <c r="F25" i="2"/>
  <c r="Q60" i="2" l="1"/>
  <c r="F27" i="2"/>
  <c r="F40" i="2"/>
  <c r="S21" i="2"/>
  <c r="S20" i="2"/>
  <c r="S18" i="2"/>
  <c r="S16" i="2"/>
  <c r="S19" i="2"/>
  <c r="U10" i="2"/>
  <c r="T15" i="2"/>
  <c r="T38" i="2" s="1"/>
  <c r="R23" i="2"/>
  <c r="S23" i="2" l="1"/>
  <c r="R24" i="2"/>
  <c r="R25" i="2" s="1"/>
  <c r="R26" i="2" s="1"/>
  <c r="R27" i="2" s="1"/>
  <c r="V10" i="2"/>
  <c r="U15" i="2"/>
  <c r="T20" i="2"/>
  <c r="T18" i="2"/>
  <c r="T16" i="2"/>
  <c r="T19" i="2"/>
  <c r="T21" i="2"/>
  <c r="R60" i="2" l="1"/>
  <c r="S24" i="2" s="1"/>
  <c r="S25" i="2" s="1"/>
  <c r="R40" i="2"/>
  <c r="T23" i="2"/>
  <c r="U20" i="2"/>
  <c r="U18" i="2"/>
  <c r="U16" i="2"/>
  <c r="U19" i="2"/>
  <c r="U21" i="2"/>
  <c r="U38" i="2"/>
  <c r="W10" i="2"/>
  <c r="W15" i="2" s="1"/>
  <c r="V15" i="2"/>
  <c r="W38" i="2" l="1"/>
  <c r="S40" i="2"/>
  <c r="S26" i="2"/>
  <c r="S27" i="2" s="1"/>
  <c r="U23" i="2"/>
  <c r="V20" i="2"/>
  <c r="V18" i="2"/>
  <c r="V16" i="2"/>
  <c r="V19" i="2"/>
  <c r="V21" i="2"/>
  <c r="V38" i="2"/>
  <c r="W18" i="2"/>
  <c r="W16" i="2"/>
  <c r="W19" i="2"/>
  <c r="W21" i="2"/>
  <c r="W20" i="2"/>
  <c r="S60" i="2" l="1"/>
  <c r="V23" i="2"/>
  <c r="W23" i="2"/>
  <c r="T24" i="2" l="1"/>
  <c r="T25" i="2" s="1"/>
  <c r="T26" i="2" l="1"/>
  <c r="T27" i="2" s="1"/>
  <c r="T40" i="2"/>
  <c r="T60" i="2" l="1"/>
  <c r="U24" i="2" l="1"/>
  <c r="U25" i="2" s="1"/>
  <c r="U40" i="2" l="1"/>
  <c r="U26" i="2"/>
  <c r="U27" i="2" s="1"/>
  <c r="U60" i="2" l="1"/>
  <c r="V24" i="2" l="1"/>
  <c r="V25" i="2" s="1"/>
  <c r="V26" i="2" l="1"/>
  <c r="V27" i="2" s="1"/>
  <c r="V40" i="2"/>
  <c r="V60" i="2" l="1"/>
  <c r="W24" i="2" l="1"/>
  <c r="W25" i="2" s="1"/>
  <c r="W26" i="2" l="1"/>
  <c r="W27" i="2" s="1"/>
  <c r="W40" i="2"/>
  <c r="X27" i="2" l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Z32" i="2" s="1"/>
  <c r="W60" i="2"/>
  <c r="AC35" i="2" l="1"/>
  <c r="Z3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<sst xmlns="http://schemas.openxmlformats.org/spreadsheetml/2006/main" count="102" uniqueCount="87">
  <si>
    <t>Ticket</t>
  </si>
  <si>
    <t>Price</t>
  </si>
  <si>
    <t>Shares</t>
  </si>
  <si>
    <t>MC</t>
  </si>
  <si>
    <t>Cash</t>
  </si>
  <si>
    <t>Debt</t>
  </si>
  <si>
    <t>EV</t>
  </si>
  <si>
    <t>Fees</t>
  </si>
  <si>
    <t>Interest</t>
  </si>
  <si>
    <t>Retail</t>
  </si>
  <si>
    <t>Other</t>
  </si>
  <si>
    <t>Revenue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</si>
  <si>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</si>
  <si>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</si>
  <si>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</si>
  <si>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</si>
  <si>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</si>
  <si>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</si>
  <si>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</si>
  <si>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</si>
  <si>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</si>
  <si>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</si>
  <si>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Interest Expenses</t>
  </si>
  <si>
    <t>Transaction expenses</t>
  </si>
  <si>
    <t>COGS</t>
  </si>
  <si>
    <t>R&amp;D</t>
  </si>
  <si>
    <t>S&amp;M</t>
  </si>
  <si>
    <t>G&amp;A</t>
  </si>
  <si>
    <t>Provisions</t>
  </si>
  <si>
    <t>Pretax Income</t>
  </si>
  <si>
    <t>Taxes</t>
  </si>
  <si>
    <t>Net Income</t>
  </si>
  <si>
    <t>Total Opex</t>
  </si>
  <si>
    <t>Revenue y/y</t>
  </si>
  <si>
    <t>CFFO</t>
  </si>
  <si>
    <t>CAPEX</t>
  </si>
  <si>
    <t>FCF</t>
  </si>
  <si>
    <t>Dividends</t>
  </si>
  <si>
    <t>Insider %</t>
  </si>
  <si>
    <t>KZT/USD</t>
  </si>
  <si>
    <t>Payments</t>
  </si>
  <si>
    <t>Marketplace</t>
  </si>
  <si>
    <t>Fintech</t>
  </si>
  <si>
    <t>Uber eats of KZ</t>
  </si>
  <si>
    <t>Amazon of KZ</t>
  </si>
  <si>
    <t>MELI of KZ</t>
  </si>
  <si>
    <t>Aquired 75% of hepsiburada</t>
  </si>
  <si>
    <t>MAU y/y</t>
  </si>
  <si>
    <t>kaspi.KZ MAU</t>
  </si>
  <si>
    <t>Payments MAU</t>
  </si>
  <si>
    <t xml:space="preserve">KZ Population </t>
  </si>
  <si>
    <t>19,9M</t>
  </si>
  <si>
    <t>Standvirtual of KZ</t>
  </si>
  <si>
    <t>TTM FCF</t>
  </si>
  <si>
    <t>Employees</t>
  </si>
  <si>
    <t>EPS</t>
  </si>
  <si>
    <t>(in millions KZT)</t>
  </si>
  <si>
    <t>KZT 10Y</t>
  </si>
  <si>
    <t>13.201</t>
  </si>
  <si>
    <t>Name</t>
  </si>
  <si>
    <t xml:space="preserve">Position </t>
  </si>
  <si>
    <t>Age</t>
  </si>
  <si>
    <t>% Ownership</t>
  </si>
  <si>
    <t>Vyacheslav Kim</t>
  </si>
  <si>
    <t>Mikheil Lomtadze</t>
  </si>
  <si>
    <t>Douglas Gardner</t>
  </si>
  <si>
    <t>Szymon Gutkowski</t>
  </si>
  <si>
    <t>Alina Prawdzik</t>
  </si>
  <si>
    <t>Nikolay Zinovyev</t>
  </si>
  <si>
    <t>CEO</t>
  </si>
  <si>
    <t>Director</t>
  </si>
  <si>
    <t>Chairman, Co-founder</t>
  </si>
  <si>
    <t>S&amp;M %</t>
  </si>
  <si>
    <t>R&amp;D %</t>
  </si>
  <si>
    <t>G&amp;A %</t>
  </si>
  <si>
    <t>Opex</t>
  </si>
  <si>
    <t>Operating Margin</t>
  </si>
  <si>
    <t>Discount</t>
  </si>
  <si>
    <t>Maturity</t>
  </si>
  <si>
    <t>ROIC</t>
  </si>
  <si>
    <t>NPV</t>
  </si>
  <si>
    <t>Share</t>
  </si>
  <si>
    <t>Net Cash</t>
  </si>
  <si>
    <t>Other Income</t>
  </si>
  <si>
    <t>USD</t>
  </si>
  <si>
    <t>KZT</t>
  </si>
  <si>
    <t>npv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</si>
</sst>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$-409]* #,##0.00_);_([$$-409]* \(#,##0.00\);_([$$-409]* &quot;-&quot;??_);_(@_)"/>
    <numFmt numFmtId="165" formatCode="0.0%"/>
    <numFmt numFmtId="168" formatCode="[$$-409]#,##0.00"/>
    <numFmt numFmtId="169" formatCode="#,##0_ ;[Red]\-#,##0\ 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165" fontId="1" fillId="0" borderId="0" xfId="0" applyNumberFormat="1" applyFont="1"/>
    <xf numFmtId="165" fontId="1" fillId="0" borderId="1" xfId="0" applyNumberFormat="1" applyFont="1" applyBorder="1"/>
    <xf numFmtId="165" fontId="2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106680</xdr:rowOff>
    </xdr:from>
    <xdr:to>
      <xdr:col>16</xdr:col>
      <xdr:colOff>7620</xdr:colOff>
      <xdr:row>58</xdr:row>
      <xdr:rowOff>106680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3213547-17B8-B970-7B63-3A4D0C5FD5F8}"/>
            </a:ext>
          </a:extLst>
        </xdr:cNvPr>
        <xdr:cNvCxnSpPr/>
      </xdr:nvCxnSpPr>
      <xdr:spPr>
        <a:xfrm flipH="1">
          <a:off x="10431780" y="106680"/>
          <a:ext cx="7620" cy="90525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https://www.bing.com/financeapi/forcetrigger?t=bpiour&amp;q=OTCM%3aKAKZF&amp;form=skydnc</v>
    <v>Learn more on Bing</v>
  </rv>
  <rv s="1">
    <v>en-GB</v>
    <v>bpiour</v>
    <v>268435456</v>
    <v>1</v>
    <v>Powered by Refinitiv</v>
    <v>0</v>
    <v>Joint Stock Company Kaspi.kz (XNAS:KSPI)</v>
    <v>2</v>
    <v>3</v>
    <v>Finance</v>
    <v>4</v>
    <v>143.72</v>
    <v>85.02</v>
    <v>-0.67</v>
    <v>-6.0699999999999999E-3</v>
    <v>USD</v>
    <v>Kaspi.kz AO (Joint Stock Company Kaspi.kz), formerly Aktsionernoe obshchestvo kaspi, is a Kazakhstan-based financial technology company, which provide a range of services such as online payments, e-commerce, and digital banking. The Company operates as holding company for Kaspi Group AO and Kaspi Magazin TOO. The Company operates through two segments. Mass retail offers a wide range of products and financial services to retail customers through a network of branches, offices, and automated teller machine (ATM). These products include savings and current accounts, credit cards, car loans and commodity loans, as well as a wide range of insurance policies. Financial services for corporate, middle, and small, and other businesses segment, including deposits, overdrafts, loans and other credit services and currency exchange.</v>
    <v>7700</v>
    <v>Nasdaq Stock Market</v>
    <v>XNAS</v>
    <v>XNAS</v>
    <v>ul. Nauryzbay batyra, 154a, ALMATY, ALMATINSKAYA OBLAST, 050013 KZ</v>
    <v>111.27500000000001</v>
    <v>Financial Technology (Fintech) &amp; Infrastructure</v>
    <v>Stock</v>
    <v>45636.866599374996</v>
    <v>0</v>
    <v>108.27</v>
    <v>21138540000</v>
    <v>Joint Stock Company Kaspi.kz</v>
    <v>Joint Stock Company Kaspi.kz</v>
    <v>110.76</v>
    <v>10.3842</v>
    <v>110.37</v>
    <v>109.7</v>
    <v>189333500</v>
    <v>KSPI</v>
    <v>Joint Stock Company Kaspi.kz (XNAS:KSPI)</v>
    <v>113531</v>
    <v>205532</v>
    <v>2008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F9BB-C3EA-49D3-AC46-7D80A2723BFE}">
  <dimension ref="D2:M15"/>
  <sheetViews>
    <sheetView topLeftCell="E1" workbookViewId="0">
      <selection activeCell="M8" sqref="M8"/>
    </sheetView>
  </sheetViews>
  <sheetFormatPr defaultRowHeight="13.2" x14ac:dyDescent="0.25"/>
  <cols>
    <col min="1" max="3" width="8.88671875" style="1"/>
    <col min="4" max="4" width="24.5546875" style="1" bestFit="1" customWidth="1"/>
    <col min="5" max="16384" width="8.88671875" style="1"/>
  </cols>
  <sheetData>
    <row r="2" spans="4:13" x14ac:dyDescent="0.25">
      <c r="K2" s="1" t="s">
        <v>0</v>
      </c>
      <c r="L2" s="1" t="e" vm="1">
        <v>#VALUE!</v>
      </c>
    </row>
    <row r="3" spans="4:13" x14ac:dyDescent="0.25">
      <c r="K3" s="1" t="s">
        <v>1</v>
      </c>
      <c r="L3" s="2" cm="1">
        <f t="array" aca="1" ref="L3" ca="1">+_FV(L2,"Price")</f>
        <v>109.7</v>
      </c>
    </row>
    <row r="4" spans="4:13" x14ac:dyDescent="0.25">
      <c r="K4" s="1" t="s">
        <v>2</v>
      </c>
      <c r="L4" s="1">
        <v>191.22564</v>
      </c>
    </row>
    <row r="5" spans="4:13" x14ac:dyDescent="0.25">
      <c r="D5" s="1" t="s">
        <v>52</v>
      </c>
      <c r="K5" s="1" t="s">
        <v>3</v>
      </c>
      <c r="L5" s="4">
        <f ca="1">+L3*L4</f>
        <v>20977.452708000001</v>
      </c>
      <c r="M5" s="1" t="s">
        <v>84</v>
      </c>
    </row>
    <row r="6" spans="4:13" x14ac:dyDescent="0.25">
      <c r="D6" s="1" t="s">
        <v>43</v>
      </c>
      <c r="K6" s="1" t="s">
        <v>4</v>
      </c>
      <c r="L6" s="4">
        <f>820.466/L13*1000</f>
        <v>1705.0769966125647</v>
      </c>
      <c r="M6" s="1" t="s">
        <v>84</v>
      </c>
    </row>
    <row r="7" spans="4:13" x14ac:dyDescent="0.25">
      <c r="D7" s="1" t="s">
        <v>44</v>
      </c>
      <c r="K7" s="1" t="s">
        <v>5</v>
      </c>
      <c r="L7" s="4">
        <f>1429.502/L13*1000</f>
        <v>2970.7641472183545</v>
      </c>
      <c r="M7" s="1" t="s">
        <v>84</v>
      </c>
    </row>
    <row r="8" spans="4:13" x14ac:dyDescent="0.25">
      <c r="D8" s="1" t="s">
        <v>45</v>
      </c>
      <c r="K8" s="1" t="s">
        <v>6</v>
      </c>
      <c r="L8" s="4">
        <f ca="1">+L5+L7-L6</f>
        <v>22243.139858605788</v>
      </c>
      <c r="M8" s="1" t="s">
        <v>84</v>
      </c>
    </row>
    <row r="11" spans="4:13" x14ac:dyDescent="0.25">
      <c r="D11" s="1" t="s">
        <v>46</v>
      </c>
      <c r="K11" s="1" t="s">
        <v>38</v>
      </c>
      <c r="L11" s="6">
        <v>0.44</v>
      </c>
    </row>
    <row r="13" spans="4:13" x14ac:dyDescent="0.25">
      <c r="D13" s="1" t="s">
        <v>50</v>
      </c>
      <c r="E13" s="1" t="s">
        <v>51</v>
      </c>
      <c r="K13" s="1" t="s">
        <v>39</v>
      </c>
      <c r="L13" s="1">
        <v>481.19</v>
      </c>
    </row>
    <row r="15" spans="4:13" x14ac:dyDescent="0.25">
      <c r="D15" s="1" t="s">
        <v>57</v>
      </c>
      <c r="E15" s="1" t="s">
        <v>58</v>
      </c>
      <c r="K15" s="1" t="s">
        <v>53</v>
      </c>
      <c r="L15" s="1">
        <f>+model!I46/main!L13*1000</f>
        <v>2770.7288181383651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0721-7E22-4373-A8D1-21C6E40E5086}">
  <dimension ref="A2:BJ60"/>
  <sheetViews>
    <sheetView tabSelected="1" topLeftCell="B1" zoomScale="70" zoomScaleNormal="70" workbookViewId="0">
      <pane xSplit="1" ySplit="2" topLeftCell="H9" activePane="bottomRight" state="frozen"/>
      <selection activeCell="B1" sqref="B1"/>
      <selection pane="topRight" activeCell="C1" sqref="C1"/>
      <selection pane="bottomLeft" activeCell="B3" sqref="B3"/>
      <selection pane="bottomRight" activeCell="P29" sqref="P29"/>
    </sheetView>
  </sheetViews>
  <sheetFormatPr defaultRowHeight="13.2" x14ac:dyDescent="0.25"/>
  <cols>
    <col min="1" max="1" width="8.88671875" style="1"/>
    <col min="2" max="2" width="18.77734375" style="1" bestFit="1" customWidth="1"/>
    <col min="3" max="25" width="8.88671875" style="1"/>
    <col min="26" max="26" width="15.33203125" style="1" bestFit="1" customWidth="1"/>
    <col min="27" max="16384" width="8.88671875" style="1"/>
  </cols>
  <sheetData>
    <row r="2" spans="1:23" x14ac:dyDescent="0.25">
      <c r="B2" s="1" t="s">
        <v>56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>
        <v>2021</v>
      </c>
      <c r="O2" s="3">
        <v>2022</v>
      </c>
      <c r="P2" s="3">
        <f>+O2+1</f>
        <v>2023</v>
      </c>
      <c r="Q2" s="3">
        <f t="shared" ref="Q2:W2" si="0">+P2+1</f>
        <v>2024</v>
      </c>
      <c r="R2" s="3">
        <f t="shared" si="0"/>
        <v>2025</v>
      </c>
      <c r="S2" s="3">
        <f t="shared" si="0"/>
        <v>2026</v>
      </c>
      <c r="T2" s="3">
        <f t="shared" si="0"/>
        <v>2027</v>
      </c>
      <c r="U2" s="3">
        <f t="shared" si="0"/>
        <v>2028</v>
      </c>
      <c r="V2" s="3">
        <f t="shared" si="0"/>
        <v>2029</v>
      </c>
      <c r="W2" s="3">
        <f t="shared" si="0"/>
        <v>2030</v>
      </c>
    </row>
    <row r="3" spans="1:23" x14ac:dyDescent="0.25">
      <c r="B3" s="1" t="s">
        <v>48</v>
      </c>
      <c r="C3" s="1">
        <v>12.8</v>
      </c>
      <c r="D3" s="1">
        <v>13.2</v>
      </c>
      <c r="E3" s="1">
        <v>13.5</v>
      </c>
      <c r="G3" s="1">
        <v>14</v>
      </c>
      <c r="H3" s="1">
        <v>14.2</v>
      </c>
      <c r="I3" s="1">
        <v>14.4</v>
      </c>
    </row>
    <row r="4" spans="1:23" x14ac:dyDescent="0.25">
      <c r="B4" s="1" t="s">
        <v>49</v>
      </c>
      <c r="D4" s="1">
        <v>12.1</v>
      </c>
      <c r="E4" s="1">
        <v>12.6</v>
      </c>
      <c r="H4" s="1">
        <v>13.2</v>
      </c>
      <c r="I4" s="1">
        <v>13.4</v>
      </c>
      <c r="J4" s="3"/>
      <c r="K4" s="3"/>
      <c r="L4" s="3"/>
    </row>
    <row r="5" spans="1:23" x14ac:dyDescent="0.25">
      <c r="C5" s="3"/>
      <c r="D5" s="3"/>
      <c r="E5" s="3"/>
      <c r="F5" s="3"/>
      <c r="G5" s="3"/>
      <c r="H5" s="3"/>
      <c r="I5" s="3"/>
      <c r="J5" s="3"/>
      <c r="K5" s="3"/>
      <c r="L5" s="3"/>
    </row>
    <row r="6" spans="1:23" x14ac:dyDescent="0.25">
      <c r="B6" s="1" t="s">
        <v>40</v>
      </c>
      <c r="C6" s="4">
        <v>101.205</v>
      </c>
      <c r="D6" s="4">
        <v>112.93600000000001</v>
      </c>
      <c r="E6" s="4">
        <v>124.873</v>
      </c>
      <c r="F6" s="4"/>
      <c r="G6" s="4">
        <v>126.59699999999999</v>
      </c>
      <c r="H6" s="4">
        <v>138.71600000000001</v>
      </c>
      <c r="I6" s="4">
        <v>155.97999999999999</v>
      </c>
      <c r="J6" s="4"/>
      <c r="K6" s="4"/>
      <c r="L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B7" s="1" t="s">
        <v>41</v>
      </c>
      <c r="C7" s="4">
        <v>72.331000000000003</v>
      </c>
      <c r="D7" s="4">
        <v>85.984999999999999</v>
      </c>
      <c r="E7" s="4">
        <v>125.25</v>
      </c>
      <c r="F7" s="4"/>
      <c r="G7" s="4">
        <v>150.44999999999999</v>
      </c>
      <c r="H7" s="4">
        <v>168.60599999999999</v>
      </c>
      <c r="I7" s="4">
        <v>178.94</v>
      </c>
      <c r="J7" s="4"/>
      <c r="K7" s="4"/>
      <c r="L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B8" s="1" t="s">
        <v>42</v>
      </c>
      <c r="C8" s="4">
        <v>230.72200000000001</v>
      </c>
      <c r="D8" s="4">
        <v>249.47200000000001</v>
      </c>
      <c r="E8" s="4">
        <v>267.798</v>
      </c>
      <c r="F8" s="4"/>
      <c r="G8" s="4">
        <v>290.601</v>
      </c>
      <c r="H8" s="4">
        <v>307.48500000000001</v>
      </c>
      <c r="I8" s="4">
        <v>331.60500000000002</v>
      </c>
      <c r="J8" s="4"/>
      <c r="K8" s="4"/>
      <c r="L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C9" s="3"/>
      <c r="D9" s="3"/>
      <c r="E9" s="3"/>
      <c r="F9" s="3"/>
      <c r="G9" s="3"/>
      <c r="H9" s="3"/>
      <c r="I9" s="3"/>
      <c r="J9" s="3"/>
      <c r="K9" s="3"/>
      <c r="L9" s="3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B10" s="1" t="s">
        <v>7</v>
      </c>
      <c r="C10" s="4">
        <v>196.548</v>
      </c>
      <c r="D10" s="4">
        <v>218.90600000000001</v>
      </c>
      <c r="E10" s="4">
        <v>266.83300000000003</v>
      </c>
      <c r="F10" s="4">
        <f>+P10-SUM(C10:E10)</f>
        <v>305.67999999999995</v>
      </c>
      <c r="G10" s="4">
        <v>275.15199999999999</v>
      </c>
      <c r="H10" s="4">
        <v>302.91300000000001</v>
      </c>
      <c r="I10" s="4">
        <v>329.43</v>
      </c>
      <c r="J10" s="4"/>
      <c r="K10" s="4"/>
      <c r="L10" s="4"/>
      <c r="O10" s="4">
        <v>679.78200000000004</v>
      </c>
      <c r="P10" s="4">
        <v>987.96699999999998</v>
      </c>
      <c r="Q10" s="4">
        <f>+P10*1.3</f>
        <v>1284.3570999999999</v>
      </c>
      <c r="R10" s="4">
        <f t="shared" ref="R10" si="1">+Q10*1.3</f>
        <v>1669.6642300000001</v>
      </c>
      <c r="S10" s="4">
        <f>+R10*1.3</f>
        <v>2170.5634990000003</v>
      </c>
      <c r="T10" s="4">
        <f>+S10*1.25</f>
        <v>2713.2043737500003</v>
      </c>
      <c r="U10" s="4">
        <f t="shared" ref="U10:W10" si="2">+T10*1.25</f>
        <v>3391.5054671875005</v>
      </c>
      <c r="V10" s="4">
        <f t="shared" si="2"/>
        <v>4239.3818339843756</v>
      </c>
      <c r="W10" s="4">
        <f t="shared" si="2"/>
        <v>5299.2272924804693</v>
      </c>
    </row>
    <row r="11" spans="1:23" x14ac:dyDescent="0.25">
      <c r="B11" s="1" t="s">
        <v>8</v>
      </c>
      <c r="C11" s="4">
        <v>185.32</v>
      </c>
      <c r="D11" s="4">
        <v>200.11799999999999</v>
      </c>
      <c r="E11" s="4">
        <v>217.166</v>
      </c>
      <c r="F11" s="4">
        <f t="shared" ref="F11:F13" si="3">+P11-SUM(C11:E11)</f>
        <v>230.91199999999992</v>
      </c>
      <c r="G11" s="4">
        <v>240.30099999999999</v>
      </c>
      <c r="H11" s="4">
        <v>249.83600000000001</v>
      </c>
      <c r="I11" s="4">
        <v>283.62</v>
      </c>
      <c r="J11" s="4"/>
      <c r="K11" s="4"/>
      <c r="L11" s="4"/>
      <c r="O11" s="4">
        <v>574.42600000000004</v>
      </c>
      <c r="P11" s="4">
        <v>833.51599999999996</v>
      </c>
      <c r="Q11" s="4">
        <f t="shared" ref="Q11" si="4">+P11*1.4</f>
        <v>1166.9223999999999</v>
      </c>
      <c r="R11" s="4">
        <f>+Q11*1.3</f>
        <v>1516.9991199999999</v>
      </c>
      <c r="S11" s="4">
        <f>+R11*1.25</f>
        <v>1896.2489</v>
      </c>
      <c r="T11" s="4">
        <f>+S11*1.2</f>
        <v>2275.4986800000001</v>
      </c>
      <c r="U11" s="4">
        <f t="shared" ref="U11:W11" si="5">+T11*1.2</f>
        <v>2730.5984160000003</v>
      </c>
      <c r="V11" s="4">
        <f t="shared" si="5"/>
        <v>3276.7180992000003</v>
      </c>
      <c r="W11" s="4">
        <f t="shared" si="5"/>
        <v>3932.0617190400003</v>
      </c>
    </row>
    <row r="12" spans="1:23" x14ac:dyDescent="0.25">
      <c r="B12" s="1" t="s">
        <v>9</v>
      </c>
      <c r="C12" s="4">
        <v>8.0139999999999993</v>
      </c>
      <c r="D12" s="4">
        <v>13.092000000000001</v>
      </c>
      <c r="E12" s="4">
        <v>16.027000000000001</v>
      </c>
      <c r="F12" s="4">
        <f t="shared" si="3"/>
        <v>31.673999999999999</v>
      </c>
      <c r="G12" s="4">
        <v>35.57</v>
      </c>
      <c r="H12" s="4">
        <v>40.103999999999999</v>
      </c>
      <c r="I12" s="4">
        <v>39.542000000000002</v>
      </c>
      <c r="J12" s="4"/>
      <c r="K12" s="4"/>
      <c r="L12" s="4"/>
      <c r="O12" s="4"/>
      <c r="P12" s="4">
        <v>68.807000000000002</v>
      </c>
      <c r="Q12" s="4">
        <f>+P12*2</f>
        <v>137.614</v>
      </c>
      <c r="R12" s="4">
        <f>+Q12*1.7</f>
        <v>233.94380000000001</v>
      </c>
      <c r="S12" s="4">
        <f>+R12*1.5</f>
        <v>350.91570000000002</v>
      </c>
      <c r="T12" s="4">
        <f>+S12*1.3</f>
        <v>456.19041000000004</v>
      </c>
      <c r="U12" s="4">
        <f>+T12*1.25</f>
        <v>570.23801250000008</v>
      </c>
      <c r="V12" s="4">
        <f t="shared" ref="V12:W12" si="6">+U12*1.25</f>
        <v>712.79751562500007</v>
      </c>
      <c r="W12" s="4">
        <f t="shared" si="6"/>
        <v>890.99689453125006</v>
      </c>
    </row>
    <row r="13" spans="1:23" x14ac:dyDescent="0.25">
      <c r="B13" s="1" t="s">
        <v>10</v>
      </c>
      <c r="C13" s="4">
        <v>5.1219999999999999</v>
      </c>
      <c r="D13" s="4">
        <v>7.141</v>
      </c>
      <c r="E13" s="4">
        <v>8.41</v>
      </c>
      <c r="F13" s="4">
        <f t="shared" si="3"/>
        <v>2.5269999999999975</v>
      </c>
      <c r="G13" s="4">
        <v>1.7909999999999999</v>
      </c>
      <c r="H13" s="4">
        <v>6.3840000000000003</v>
      </c>
      <c r="I13" s="4">
        <v>-2.8380000000000001</v>
      </c>
      <c r="J13" s="4"/>
      <c r="K13" s="4"/>
      <c r="L13" s="4"/>
      <c r="O13" s="4">
        <v>16.384</v>
      </c>
      <c r="P13" s="4">
        <v>23.2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1:23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3" customFormat="1" x14ac:dyDescent="0.25">
      <c r="A15" s="1"/>
      <c r="B15" s="3" t="s">
        <v>11</v>
      </c>
      <c r="C15" s="5">
        <f t="shared" ref="C15:D15" si="7">+SUM(C10:C13)</f>
        <v>395.00400000000002</v>
      </c>
      <c r="D15" s="5">
        <f t="shared" si="7"/>
        <v>439.25700000000001</v>
      </c>
      <c r="E15" s="5">
        <f>+SUM(E10:E13)</f>
        <v>508.43600000000004</v>
      </c>
      <c r="F15" s="5">
        <f t="shared" ref="F15:H15" si="8">+SUM(F10:F13)</f>
        <v>570.79299999999989</v>
      </c>
      <c r="G15" s="5">
        <f t="shared" si="8"/>
        <v>552.81400000000008</v>
      </c>
      <c r="H15" s="5">
        <f t="shared" si="8"/>
        <v>599.23700000000008</v>
      </c>
      <c r="I15" s="5">
        <f>+SUM(I10:I13)</f>
        <v>649.75400000000002</v>
      </c>
      <c r="J15" s="5">
        <f t="shared" ref="J15:O15" si="9">+SUM(J10:J13)</f>
        <v>0</v>
      </c>
      <c r="K15" s="5">
        <f t="shared" si="9"/>
        <v>0</v>
      </c>
      <c r="L15" s="5">
        <f t="shared" si="9"/>
        <v>0</v>
      </c>
      <c r="N15" s="5">
        <f t="shared" si="9"/>
        <v>0</v>
      </c>
      <c r="O15" s="5">
        <f t="shared" si="9"/>
        <v>1270.5920000000001</v>
      </c>
      <c r="P15" s="5">
        <f>+SUM(P10:P13)</f>
        <v>1913.49</v>
      </c>
      <c r="Q15" s="5">
        <f t="shared" ref="Q15:W15" si="10">+SUM(Q10:Q13)</f>
        <v>2588.8934999999997</v>
      </c>
      <c r="R15" s="5">
        <f t="shared" si="10"/>
        <v>3420.6071499999998</v>
      </c>
      <c r="S15" s="5">
        <f t="shared" si="10"/>
        <v>4417.7280989999999</v>
      </c>
      <c r="T15" s="5">
        <f t="shared" si="10"/>
        <v>5444.8934637500006</v>
      </c>
      <c r="U15" s="5">
        <f t="shared" si="10"/>
        <v>6692.3418956875012</v>
      </c>
      <c r="V15" s="5">
        <f t="shared" si="10"/>
        <v>8228.8974488093754</v>
      </c>
      <c r="W15" s="5">
        <f t="shared" si="10"/>
        <v>10122.28590605172</v>
      </c>
    </row>
    <row r="16" spans="1:23" x14ac:dyDescent="0.25">
      <c r="B16" s="1" t="s">
        <v>22</v>
      </c>
      <c r="C16" s="4">
        <v>106.964</v>
      </c>
      <c r="D16" s="4">
        <v>113.51</v>
      </c>
      <c r="E16" s="4">
        <v>123.95699999999999</v>
      </c>
      <c r="F16" s="4">
        <f t="shared" ref="F16:F22" si="11">+P16-SUM(C16:E16)</f>
        <v>133.57900000000001</v>
      </c>
      <c r="G16" s="4">
        <v>145.499</v>
      </c>
      <c r="H16" s="4">
        <v>147.08500000000001</v>
      </c>
      <c r="I16" s="4">
        <v>158.93700000000001</v>
      </c>
      <c r="J16" s="4"/>
      <c r="K16" s="4"/>
      <c r="L16" s="4"/>
      <c r="O16" s="4">
        <v>278.67599999999999</v>
      </c>
      <c r="P16" s="4">
        <v>478.01</v>
      </c>
      <c r="Q16" s="4">
        <f>+Q15*0.25</f>
        <v>647.22337499999992</v>
      </c>
      <c r="R16" s="4">
        <f t="shared" ref="R16:W16" si="12">+R15*0.25</f>
        <v>855.15178749999995</v>
      </c>
      <c r="S16" s="4">
        <f t="shared" si="12"/>
        <v>1104.43202475</v>
      </c>
      <c r="T16" s="4">
        <f t="shared" si="12"/>
        <v>1361.2233659375001</v>
      </c>
      <c r="U16" s="4">
        <f t="shared" si="12"/>
        <v>1673.0854739218753</v>
      </c>
      <c r="V16" s="4">
        <f t="shared" si="12"/>
        <v>2057.2243622023439</v>
      </c>
      <c r="W16" s="4">
        <f t="shared" si="12"/>
        <v>2530.5714765129301</v>
      </c>
    </row>
    <row r="17" spans="2:62" x14ac:dyDescent="0.25">
      <c r="B17" s="1" t="s">
        <v>23</v>
      </c>
      <c r="C17" s="4">
        <v>5.9589999999999996</v>
      </c>
      <c r="D17" s="4">
        <v>6.8810000000000002</v>
      </c>
      <c r="E17" s="4">
        <v>7.2380000000000004</v>
      </c>
      <c r="F17" s="4">
        <f t="shared" si="11"/>
        <v>7.3919999999999995</v>
      </c>
      <c r="G17" s="4">
        <v>6.3310000000000004</v>
      </c>
      <c r="H17" s="4">
        <v>7.0780000000000003</v>
      </c>
      <c r="I17" s="4">
        <v>8.0090000000000003</v>
      </c>
      <c r="J17" s="4"/>
      <c r="K17" s="4"/>
      <c r="L17" s="4"/>
      <c r="O17" s="4">
        <v>22.187999999999999</v>
      </c>
      <c r="P17" s="4">
        <v>27.47</v>
      </c>
      <c r="Q17" s="4">
        <f>+P17*1.12</f>
        <v>30.766400000000001</v>
      </c>
      <c r="R17" s="4">
        <f t="shared" ref="R17:W17" si="13">+Q17*1.12</f>
        <v>34.458368000000007</v>
      </c>
      <c r="S17" s="4">
        <f t="shared" si="13"/>
        <v>38.593372160000008</v>
      </c>
      <c r="T17" s="4">
        <f t="shared" si="13"/>
        <v>43.22457681920001</v>
      </c>
      <c r="U17" s="4">
        <f t="shared" si="13"/>
        <v>48.411526037504018</v>
      </c>
      <c r="V17" s="4">
        <f t="shared" si="13"/>
        <v>54.220909162004503</v>
      </c>
      <c r="W17" s="4">
        <f t="shared" si="13"/>
        <v>60.727418261445052</v>
      </c>
    </row>
    <row r="18" spans="2:62" x14ac:dyDescent="0.25">
      <c r="B18" s="1" t="s">
        <v>24</v>
      </c>
      <c r="C18" s="4">
        <v>31.347999999999999</v>
      </c>
      <c r="D18" s="4">
        <v>35.988</v>
      </c>
      <c r="E18" s="4">
        <v>40.749000000000002</v>
      </c>
      <c r="F18" s="4">
        <f t="shared" si="11"/>
        <v>58.270999999999987</v>
      </c>
      <c r="G18" s="4">
        <v>63.078000000000003</v>
      </c>
      <c r="H18" s="4">
        <v>72.62</v>
      </c>
      <c r="I18" s="4">
        <v>76.448999999999998</v>
      </c>
      <c r="J18" s="4"/>
      <c r="K18" s="4"/>
      <c r="L18" s="4"/>
      <c r="O18" s="4">
        <v>82.747</v>
      </c>
      <c r="P18" s="4">
        <v>166.35599999999999</v>
      </c>
      <c r="Q18" s="4">
        <f>+Q15*0.08</f>
        <v>207.11147999999997</v>
      </c>
      <c r="R18" s="4">
        <f t="shared" ref="R18:W18" si="14">+R15*0.08</f>
        <v>273.648572</v>
      </c>
      <c r="S18" s="4">
        <f t="shared" si="14"/>
        <v>353.41824792</v>
      </c>
      <c r="T18" s="4">
        <f t="shared" si="14"/>
        <v>435.59147710000008</v>
      </c>
      <c r="U18" s="4">
        <f t="shared" si="14"/>
        <v>535.38735165500009</v>
      </c>
      <c r="V18" s="4">
        <f t="shared" si="14"/>
        <v>658.31179590475006</v>
      </c>
      <c r="W18" s="4">
        <f t="shared" si="14"/>
        <v>809.78287248413767</v>
      </c>
    </row>
    <row r="19" spans="2:62" x14ac:dyDescent="0.25">
      <c r="B19" s="1" t="s">
        <v>25</v>
      </c>
      <c r="C19" s="4">
        <v>18.004000000000001</v>
      </c>
      <c r="D19" s="4">
        <v>19.937000000000001</v>
      </c>
      <c r="E19" s="4">
        <v>22.138000000000002</v>
      </c>
      <c r="F19" s="4">
        <f t="shared" si="11"/>
        <v>28.577999999999989</v>
      </c>
      <c r="G19" s="4">
        <v>26.43</v>
      </c>
      <c r="H19" s="4">
        <v>26.244</v>
      </c>
      <c r="I19" s="4">
        <v>27.538</v>
      </c>
      <c r="J19" s="4"/>
      <c r="K19" s="4"/>
      <c r="L19" s="4"/>
      <c r="O19" s="4">
        <v>60.807000000000002</v>
      </c>
      <c r="P19" s="4">
        <v>88.656999999999996</v>
      </c>
      <c r="Q19" s="4">
        <f>+Q15*0.049</f>
        <v>126.85578149999999</v>
      </c>
      <c r="R19" s="4">
        <f t="shared" ref="R19:W19" si="15">+R15*0.049</f>
        <v>167.60975034999998</v>
      </c>
      <c r="S19" s="4">
        <f t="shared" si="15"/>
        <v>216.468676851</v>
      </c>
      <c r="T19" s="4">
        <f t="shared" si="15"/>
        <v>266.79977972375002</v>
      </c>
      <c r="U19" s="4">
        <f t="shared" si="15"/>
        <v>327.92475288868758</v>
      </c>
      <c r="V19" s="4">
        <f t="shared" si="15"/>
        <v>403.21597499165944</v>
      </c>
      <c r="W19" s="4">
        <f t="shared" si="15"/>
        <v>495.99200939653429</v>
      </c>
    </row>
    <row r="20" spans="2:62" x14ac:dyDescent="0.25">
      <c r="B20" s="1" t="s">
        <v>26</v>
      </c>
      <c r="C20" s="4">
        <v>4.1539999999999999</v>
      </c>
      <c r="D20" s="4">
        <v>4.5750000000000002</v>
      </c>
      <c r="E20" s="4">
        <v>5.0730000000000004</v>
      </c>
      <c r="F20" s="4">
        <f t="shared" si="11"/>
        <v>8.0889999999999986</v>
      </c>
      <c r="G20" s="4">
        <v>9.9339999999999993</v>
      </c>
      <c r="H20" s="4">
        <v>10.473000000000001</v>
      </c>
      <c r="I20" s="4">
        <v>10.651</v>
      </c>
      <c r="J20" s="4"/>
      <c r="K20" s="4"/>
      <c r="L20" s="4"/>
      <c r="O20" s="4">
        <v>25.617999999999999</v>
      </c>
      <c r="P20" s="4">
        <v>21.890999999999998</v>
      </c>
      <c r="Q20" s="4">
        <f>+Q15*0.015</f>
        <v>38.833402499999991</v>
      </c>
      <c r="R20" s="4">
        <f t="shared" ref="R20:W20" si="16">+R15*0.015</f>
        <v>51.309107249999997</v>
      </c>
      <c r="S20" s="4">
        <f t="shared" si="16"/>
        <v>66.265921484999993</v>
      </c>
      <c r="T20" s="4">
        <f t="shared" si="16"/>
        <v>81.673401956250004</v>
      </c>
      <c r="U20" s="4">
        <f t="shared" si="16"/>
        <v>100.38512843531251</v>
      </c>
      <c r="V20" s="4">
        <f t="shared" si="16"/>
        <v>123.43346173214063</v>
      </c>
      <c r="W20" s="4">
        <f t="shared" si="16"/>
        <v>151.8342885907758</v>
      </c>
    </row>
    <row r="21" spans="2:62" x14ac:dyDescent="0.25">
      <c r="B21" s="1" t="s">
        <v>27</v>
      </c>
      <c r="C21" s="4">
        <v>5.7779999999999996</v>
      </c>
      <c r="D21" s="4">
        <v>5.9009999999999998</v>
      </c>
      <c r="E21" s="4">
        <v>6.5149999999999997</v>
      </c>
      <c r="F21" s="4">
        <f t="shared" si="11"/>
        <v>11.274000000000001</v>
      </c>
      <c r="G21" s="4">
        <v>7.3920000000000003</v>
      </c>
      <c r="H21" s="4">
        <v>7.7729999999999997</v>
      </c>
      <c r="I21" s="4">
        <v>7.2930000000000001</v>
      </c>
      <c r="J21" s="4"/>
      <c r="K21" s="4"/>
      <c r="L21" s="4"/>
      <c r="O21" s="4">
        <v>24.771999999999998</v>
      </c>
      <c r="P21" s="4">
        <v>29.468</v>
      </c>
      <c r="Q21" s="4">
        <f>+Q15*0.02</f>
        <v>51.777869999999993</v>
      </c>
      <c r="R21" s="4">
        <f t="shared" ref="R21:W21" si="17">+R15*0.02</f>
        <v>68.412143</v>
      </c>
      <c r="S21" s="4">
        <f t="shared" si="17"/>
        <v>88.35456198</v>
      </c>
      <c r="T21" s="4">
        <f t="shared" si="17"/>
        <v>108.89786927500002</v>
      </c>
      <c r="U21" s="4">
        <f t="shared" si="17"/>
        <v>133.84683791375002</v>
      </c>
      <c r="V21" s="4">
        <f t="shared" si="17"/>
        <v>164.57794897618751</v>
      </c>
      <c r="W21" s="4">
        <f t="shared" si="17"/>
        <v>202.44571812103442</v>
      </c>
    </row>
    <row r="22" spans="2:62" x14ac:dyDescent="0.25">
      <c r="B22" s="1" t="s">
        <v>28</v>
      </c>
      <c r="C22" s="4">
        <v>15.191000000000001</v>
      </c>
      <c r="D22" s="4">
        <v>18.771000000000001</v>
      </c>
      <c r="E22" s="4">
        <v>23.202999999999999</v>
      </c>
      <c r="F22" s="4">
        <f t="shared" si="11"/>
        <v>22.468999999999994</v>
      </c>
      <c r="G22" s="4">
        <v>25.053000000000001</v>
      </c>
      <c r="H22" s="4">
        <v>31.677</v>
      </c>
      <c r="I22" s="4">
        <v>27.564</v>
      </c>
      <c r="J22" s="4"/>
      <c r="K22" s="4"/>
      <c r="L22" s="4"/>
      <c r="O22" s="4">
        <v>55.21</v>
      </c>
      <c r="P22" s="4">
        <v>79.634</v>
      </c>
      <c r="Q22" s="4">
        <f>+P22*1.2</f>
        <v>95.5608</v>
      </c>
      <c r="R22" s="4">
        <f t="shared" ref="R22" si="18">+Q22*1.2</f>
        <v>114.67296</v>
      </c>
      <c r="S22" s="4">
        <f>+R22*1.15</f>
        <v>131.87390399999998</v>
      </c>
      <c r="T22" s="4">
        <f t="shared" ref="T22:W22" si="19">+S22*1.15</f>
        <v>151.65498959999996</v>
      </c>
      <c r="U22" s="4">
        <f t="shared" si="19"/>
        <v>174.40323803999993</v>
      </c>
      <c r="V22" s="4">
        <f t="shared" si="19"/>
        <v>200.56372374599991</v>
      </c>
      <c r="W22" s="4">
        <f t="shared" si="19"/>
        <v>230.64828230789988</v>
      </c>
    </row>
    <row r="23" spans="2:62" x14ac:dyDescent="0.25">
      <c r="B23" s="1" t="s">
        <v>32</v>
      </c>
      <c r="C23" s="4">
        <f t="shared" ref="C23:H23" si="20">+SUM(C16:C22)</f>
        <v>187.398</v>
      </c>
      <c r="D23" s="4">
        <f t="shared" si="20"/>
        <v>205.56300000000005</v>
      </c>
      <c r="E23" s="4">
        <f t="shared" si="20"/>
        <v>228.87299999999999</v>
      </c>
      <c r="F23" s="4">
        <f t="shared" si="20"/>
        <v>269.65199999999999</v>
      </c>
      <c r="G23" s="4">
        <f t="shared" si="20"/>
        <v>283.71699999999998</v>
      </c>
      <c r="H23" s="4">
        <f t="shared" si="20"/>
        <v>302.95000000000005</v>
      </c>
      <c r="I23" s="4">
        <f>+SUM(I16:I22)</f>
        <v>316.44100000000009</v>
      </c>
      <c r="J23" s="4"/>
      <c r="K23" s="4"/>
      <c r="L23" s="4"/>
      <c r="N23" s="4">
        <f t="shared" ref="N23" si="21">+SUM(N16:N22)</f>
        <v>0</v>
      </c>
      <c r="O23" s="4">
        <f>+SUM(O16:O22)</f>
        <v>550.01800000000003</v>
      </c>
      <c r="P23" s="4">
        <f t="shared" ref="P23:W23" si="22">+SUM(P16:P22)</f>
        <v>891.48599999999999</v>
      </c>
      <c r="Q23" s="4">
        <f t="shared" si="22"/>
        <v>1198.1291089999997</v>
      </c>
      <c r="R23" s="4">
        <f t="shared" si="22"/>
        <v>1565.2626881000001</v>
      </c>
      <c r="S23" s="4">
        <f t="shared" si="22"/>
        <v>1999.4067091459999</v>
      </c>
      <c r="T23" s="4">
        <f t="shared" si="22"/>
        <v>2449.0654604117003</v>
      </c>
      <c r="U23" s="4">
        <f t="shared" si="22"/>
        <v>2993.4443088921294</v>
      </c>
      <c r="V23" s="4">
        <f t="shared" si="22"/>
        <v>3661.5481767150859</v>
      </c>
      <c r="W23" s="4">
        <f t="shared" si="22"/>
        <v>4482.0020656747565</v>
      </c>
    </row>
    <row r="24" spans="2:62" x14ac:dyDescent="0.25">
      <c r="B24" s="1" t="s">
        <v>83</v>
      </c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>
        <f>+Q60*$Z$31</f>
        <v>29.380072133399999</v>
      </c>
      <c r="S24" s="4">
        <f t="shared" ref="S24:W24" si="23">+R60*$Z$31</f>
        <v>118.71601504658315</v>
      </c>
      <c r="T24" s="4">
        <f t="shared" si="23"/>
        <v>238.97158803887081</v>
      </c>
      <c r="U24" s="4">
        <f t="shared" si="23"/>
        <v>392.30108867014872</v>
      </c>
      <c r="V24" s="4">
        <f t="shared" si="23"/>
        <v>586.22390588721441</v>
      </c>
      <c r="W24" s="4">
        <f t="shared" si="23"/>
        <v>830.5032745235377</v>
      </c>
    </row>
    <row r="25" spans="2:62" x14ac:dyDescent="0.25">
      <c r="B25" s="1" t="s">
        <v>29</v>
      </c>
      <c r="C25" s="4">
        <f t="shared" ref="C25:H25" si="24">+C15-C23</f>
        <v>207.60600000000002</v>
      </c>
      <c r="D25" s="4">
        <f t="shared" si="24"/>
        <v>233.69399999999996</v>
      </c>
      <c r="E25" s="4">
        <f t="shared" si="24"/>
        <v>279.56300000000005</v>
      </c>
      <c r="F25" s="4">
        <f t="shared" si="24"/>
        <v>301.14099999999991</v>
      </c>
      <c r="G25" s="4">
        <f t="shared" si="24"/>
        <v>269.09700000000009</v>
      </c>
      <c r="H25" s="4">
        <f t="shared" si="24"/>
        <v>296.28700000000003</v>
      </c>
      <c r="I25" s="4">
        <f>+I15-I23</f>
        <v>333.31299999999993</v>
      </c>
      <c r="J25" s="4"/>
      <c r="K25" s="4"/>
      <c r="L25" s="4"/>
      <c r="N25" s="4">
        <f t="shared" ref="N25" si="25">+N15-N23</f>
        <v>0</v>
      </c>
      <c r="O25" s="4">
        <f>+O15-O23</f>
        <v>720.57400000000007</v>
      </c>
      <c r="P25" s="4">
        <f t="shared" ref="P25:W25" si="26">+P15-P23</f>
        <v>1022.004</v>
      </c>
      <c r="Q25" s="4">
        <f>+Q15-Q23+Q24</f>
        <v>1390.7643909999999</v>
      </c>
      <c r="R25" s="4">
        <f t="shared" ref="R25:W25" si="27">+R15-R23+R24</f>
        <v>1884.7245340333998</v>
      </c>
      <c r="S25" s="4">
        <f t="shared" si="27"/>
        <v>2537.0374049005832</v>
      </c>
      <c r="T25" s="4">
        <f t="shared" si="27"/>
        <v>3234.7995913771711</v>
      </c>
      <c r="U25" s="4">
        <f t="shared" si="27"/>
        <v>4091.1986754655204</v>
      </c>
      <c r="V25" s="4">
        <f t="shared" si="27"/>
        <v>5153.5731779815042</v>
      </c>
      <c r="W25" s="4">
        <f t="shared" si="27"/>
        <v>6470.7871149005014</v>
      </c>
    </row>
    <row r="26" spans="2:62" x14ac:dyDescent="0.25">
      <c r="B26" s="1" t="s">
        <v>30</v>
      </c>
      <c r="C26" s="4">
        <v>33.396999999999998</v>
      </c>
      <c r="D26" s="4">
        <v>39.618000000000002</v>
      </c>
      <c r="E26" s="4">
        <v>47.070999999999998</v>
      </c>
      <c r="F26" s="4">
        <f>+P26-SUM(C26:E26)</f>
        <v>53.14800000000001</v>
      </c>
      <c r="G26" s="4">
        <v>45.656999999999996</v>
      </c>
      <c r="H26" s="4">
        <v>53.67</v>
      </c>
      <c r="I26" s="4">
        <v>58.936999999999998</v>
      </c>
      <c r="J26" s="4"/>
      <c r="K26" s="4"/>
      <c r="L26" s="4"/>
      <c r="O26" s="4">
        <v>131.72999999999999</v>
      </c>
      <c r="P26" s="4">
        <v>173.23400000000001</v>
      </c>
      <c r="Q26" s="4">
        <f>+Q25*0.21</f>
        <v>292.06052210999997</v>
      </c>
      <c r="R26" s="4">
        <f t="shared" ref="R26:W26" si="28">+R25*0.21</f>
        <v>395.79215214701395</v>
      </c>
      <c r="S26" s="4">
        <f t="shared" si="28"/>
        <v>532.77785502912241</v>
      </c>
      <c r="T26" s="4">
        <f t="shared" si="28"/>
        <v>679.30791418920592</v>
      </c>
      <c r="U26" s="4">
        <f t="shared" si="28"/>
        <v>859.15172184775929</v>
      </c>
      <c r="V26" s="4">
        <f t="shared" si="28"/>
        <v>1082.2503673761159</v>
      </c>
      <c r="W26" s="4">
        <f t="shared" si="28"/>
        <v>1358.8652941291052</v>
      </c>
    </row>
    <row r="27" spans="2:62" x14ac:dyDescent="0.25">
      <c r="B27" s="3" t="s">
        <v>31</v>
      </c>
      <c r="C27" s="5">
        <f t="shared" ref="C27:H27" si="29">+C25-C26</f>
        <v>174.20900000000003</v>
      </c>
      <c r="D27" s="5">
        <f t="shared" si="29"/>
        <v>194.07599999999996</v>
      </c>
      <c r="E27" s="5">
        <f t="shared" si="29"/>
        <v>232.49200000000005</v>
      </c>
      <c r="F27" s="5">
        <f t="shared" si="29"/>
        <v>247.99299999999988</v>
      </c>
      <c r="G27" s="5">
        <f t="shared" si="29"/>
        <v>223.44000000000011</v>
      </c>
      <c r="H27" s="5">
        <f t="shared" si="29"/>
        <v>242.61700000000002</v>
      </c>
      <c r="I27" s="5">
        <f>+I25-I26</f>
        <v>274.37599999999992</v>
      </c>
      <c r="J27" s="4"/>
      <c r="K27" s="4"/>
      <c r="L27" s="4"/>
      <c r="N27" s="5">
        <f t="shared" ref="N27" si="30">+N25-N26</f>
        <v>0</v>
      </c>
      <c r="O27" s="5">
        <f>+O25-O26</f>
        <v>588.84400000000005</v>
      </c>
      <c r="P27" s="5">
        <f t="shared" ref="P27:W27" si="31">+P25-P26</f>
        <v>848.77</v>
      </c>
      <c r="Q27" s="5">
        <f t="shared" si="31"/>
        <v>1098.70386889</v>
      </c>
      <c r="R27" s="5">
        <f t="shared" si="31"/>
        <v>1488.9323818863859</v>
      </c>
      <c r="S27" s="5">
        <f t="shared" si="31"/>
        <v>2004.2595498714609</v>
      </c>
      <c r="T27" s="5">
        <f t="shared" si="31"/>
        <v>2555.4916771879653</v>
      </c>
      <c r="U27" s="5">
        <f t="shared" si="31"/>
        <v>3232.0469536177611</v>
      </c>
      <c r="V27" s="5">
        <f t="shared" si="31"/>
        <v>4071.3228106053884</v>
      </c>
      <c r="W27" s="5">
        <f t="shared" si="31"/>
        <v>5111.9218207713966</v>
      </c>
      <c r="X27" s="5">
        <f>+W27*(1+$Z$30)</f>
        <v>5111.9218207713966</v>
      </c>
      <c r="Y27" s="5">
        <f t="shared" ref="Y27:BJ27" si="32">+X27*(1+$Z$30)</f>
        <v>5111.9218207713966</v>
      </c>
      <c r="Z27" s="5">
        <f t="shared" si="32"/>
        <v>5111.9218207713966</v>
      </c>
      <c r="AA27" s="5">
        <f t="shared" si="32"/>
        <v>5111.9218207713966</v>
      </c>
      <c r="AB27" s="5">
        <f t="shared" si="32"/>
        <v>5111.9218207713966</v>
      </c>
      <c r="AC27" s="5">
        <f t="shared" si="32"/>
        <v>5111.9218207713966</v>
      </c>
      <c r="AD27" s="5">
        <f t="shared" si="32"/>
        <v>5111.9218207713966</v>
      </c>
      <c r="AE27" s="5">
        <f t="shared" si="32"/>
        <v>5111.9218207713966</v>
      </c>
      <c r="AF27" s="5">
        <f t="shared" si="32"/>
        <v>5111.9218207713966</v>
      </c>
      <c r="AG27" s="5">
        <f t="shared" si="32"/>
        <v>5111.9218207713966</v>
      </c>
      <c r="AH27" s="5">
        <f t="shared" si="32"/>
        <v>5111.9218207713966</v>
      </c>
      <c r="AI27" s="5">
        <f t="shared" si="32"/>
        <v>5111.9218207713966</v>
      </c>
      <c r="AJ27" s="5">
        <f t="shared" si="32"/>
        <v>5111.9218207713966</v>
      </c>
      <c r="AK27" s="5">
        <f t="shared" si="32"/>
        <v>5111.9218207713966</v>
      </c>
      <c r="AL27" s="5">
        <f t="shared" si="32"/>
        <v>5111.9218207713966</v>
      </c>
      <c r="AM27" s="5">
        <f t="shared" si="32"/>
        <v>5111.9218207713966</v>
      </c>
      <c r="AN27" s="5">
        <f t="shared" si="32"/>
        <v>5111.9218207713966</v>
      </c>
      <c r="AO27" s="5">
        <f t="shared" si="32"/>
        <v>5111.9218207713966</v>
      </c>
      <c r="AP27" s="5">
        <f t="shared" si="32"/>
        <v>5111.9218207713966</v>
      </c>
      <c r="AQ27" s="5">
        <f t="shared" si="32"/>
        <v>5111.9218207713966</v>
      </c>
      <c r="AR27" s="5">
        <f t="shared" si="32"/>
        <v>5111.9218207713966</v>
      </c>
      <c r="AS27" s="5">
        <f t="shared" si="32"/>
        <v>5111.9218207713966</v>
      </c>
      <c r="AT27" s="5">
        <f t="shared" si="32"/>
        <v>5111.9218207713966</v>
      </c>
      <c r="AU27" s="5">
        <f t="shared" si="32"/>
        <v>5111.9218207713966</v>
      </c>
      <c r="AV27" s="5">
        <f t="shared" si="32"/>
        <v>5111.9218207713966</v>
      </c>
      <c r="AW27" s="5">
        <f t="shared" si="32"/>
        <v>5111.9218207713966</v>
      </c>
      <c r="AX27" s="5">
        <f t="shared" si="32"/>
        <v>5111.9218207713966</v>
      </c>
      <c r="AY27" s="5">
        <f t="shared" si="32"/>
        <v>5111.9218207713966</v>
      </c>
      <c r="AZ27" s="5">
        <f t="shared" si="32"/>
        <v>5111.9218207713966</v>
      </c>
      <c r="BA27" s="5">
        <f t="shared" si="32"/>
        <v>5111.9218207713966</v>
      </c>
      <c r="BB27" s="5">
        <f t="shared" si="32"/>
        <v>5111.9218207713966</v>
      </c>
      <c r="BC27" s="5">
        <f t="shared" si="32"/>
        <v>5111.9218207713966</v>
      </c>
      <c r="BD27" s="5">
        <f t="shared" si="32"/>
        <v>5111.9218207713966</v>
      </c>
      <c r="BE27" s="5">
        <f t="shared" si="32"/>
        <v>5111.9218207713966</v>
      </c>
      <c r="BF27" s="5">
        <f t="shared" si="32"/>
        <v>5111.9218207713966</v>
      </c>
      <c r="BG27" s="5">
        <f t="shared" si="32"/>
        <v>5111.9218207713966</v>
      </c>
      <c r="BH27" s="5">
        <f t="shared" si="32"/>
        <v>5111.9218207713966</v>
      </c>
      <c r="BI27" s="5">
        <f t="shared" si="32"/>
        <v>5111.9218207713966</v>
      </c>
      <c r="BJ27" s="5">
        <f t="shared" si="32"/>
        <v>5111.9218207713966</v>
      </c>
    </row>
    <row r="28" spans="2:62" x14ac:dyDescent="0.25">
      <c r="B28" s="1" t="s">
        <v>2</v>
      </c>
      <c r="N28" s="1">
        <v>192.062409</v>
      </c>
      <c r="O28" s="1">
        <v>193.991446</v>
      </c>
      <c r="P28" s="1">
        <v>192.062409</v>
      </c>
      <c r="Q28" s="1">
        <f>+P28*0.99</f>
        <v>190.14178491000001</v>
      </c>
      <c r="R28" s="1">
        <f t="shared" ref="R28:W28" si="33">+Q28*0.99</f>
        <v>188.24036706090001</v>
      </c>
      <c r="S28" s="1">
        <f t="shared" si="33"/>
        <v>186.35796339029102</v>
      </c>
      <c r="T28" s="1">
        <f t="shared" si="33"/>
        <v>184.49438375638812</v>
      </c>
      <c r="U28" s="1">
        <f t="shared" si="33"/>
        <v>182.64943991882424</v>
      </c>
      <c r="V28" s="1">
        <f t="shared" si="33"/>
        <v>180.82294551963599</v>
      </c>
      <c r="W28" s="1">
        <f t="shared" si="33"/>
        <v>179.01471606443963</v>
      </c>
    </row>
    <row r="29" spans="2:62" x14ac:dyDescent="0.25">
      <c r="B29" s="1" t="s">
        <v>55</v>
      </c>
      <c r="N29" s="1">
        <f t="shared" ref="N29:O29" si="34">+N27/N28</f>
        <v>0</v>
      </c>
      <c r="O29" s="1">
        <f t="shared" si="34"/>
        <v>3.0354121902880196</v>
      </c>
      <c r="P29" s="1">
        <f>+P27/P28</f>
        <v>4.4192406229789611</v>
      </c>
      <c r="Q29" s="1">
        <f t="shared" ref="Q29:W29" si="35">+Q27/Q28</f>
        <v>5.7783399341183763</v>
      </c>
      <c r="R29" s="1">
        <f t="shared" si="35"/>
        <v>7.9097401111881736</v>
      </c>
      <c r="S29" s="1">
        <f t="shared" si="35"/>
        <v>10.754890820919327</v>
      </c>
      <c r="T29" s="1">
        <f t="shared" si="35"/>
        <v>13.851325038502596</v>
      </c>
      <c r="U29" s="1">
        <f t="shared" si="35"/>
        <v>17.69535649851538</v>
      </c>
      <c r="V29" s="1">
        <f t="shared" si="35"/>
        <v>22.515520908618722</v>
      </c>
      <c r="W29" s="1">
        <f t="shared" si="35"/>
        <v>28.555874808254686</v>
      </c>
      <c r="Y29" s="1" t="s">
        <v>77</v>
      </c>
      <c r="Z29" s="6">
        <v>0.2</v>
      </c>
    </row>
    <row r="30" spans="2:62" x14ac:dyDescent="0.25">
      <c r="Y30" s="1" t="s">
        <v>78</v>
      </c>
      <c r="Z30" s="1">
        <v>0</v>
      </c>
    </row>
    <row r="31" spans="2:62" x14ac:dyDescent="0.25">
      <c r="B31" s="1" t="s">
        <v>40</v>
      </c>
      <c r="H31" s="7">
        <f>+H6/D6-1</f>
        <v>0.22827087908195787</v>
      </c>
      <c r="I31" s="7">
        <f>+I6/E6-1</f>
        <v>0.24910909484035759</v>
      </c>
      <c r="Y31" s="1" t="s">
        <v>79</v>
      </c>
      <c r="Z31" s="6">
        <v>0.06</v>
      </c>
    </row>
    <row r="32" spans="2:62" x14ac:dyDescent="0.25">
      <c r="B32" s="1" t="s">
        <v>41</v>
      </c>
      <c r="H32" s="7">
        <f>+H7/D7-1</f>
        <v>0.96087689713322089</v>
      </c>
      <c r="I32" s="7">
        <f>+I7/E7-1</f>
        <v>0.42866267465069852</v>
      </c>
      <c r="Y32" s="1" t="s">
        <v>80</v>
      </c>
      <c r="Z32" s="11">
        <f>+NPV(Z29,Q27:BJ27)*1000</f>
        <v>15558235.939206902</v>
      </c>
      <c r="AA32" s="1" t="s">
        <v>85</v>
      </c>
    </row>
    <row r="33" spans="2:29" x14ac:dyDescent="0.25">
      <c r="B33" s="1" t="s">
        <v>42</v>
      </c>
      <c r="H33" s="7">
        <f>+H8/D8-1</f>
        <v>0.23254313109286806</v>
      </c>
      <c r="I33" s="7">
        <f>+I8/E8-1</f>
        <v>0.23826540900230775</v>
      </c>
      <c r="Y33" s="1" t="s">
        <v>81</v>
      </c>
      <c r="Z33" s="10">
        <f>+Z32/P28</f>
        <v>81006.148054754958</v>
      </c>
    </row>
    <row r="34" spans="2:29" x14ac:dyDescent="0.25">
      <c r="B34" s="1" t="s">
        <v>7</v>
      </c>
      <c r="G34" s="7">
        <f>+G10/C10-1</f>
        <v>0.39992266520137565</v>
      </c>
      <c r="H34" s="7">
        <f>+H10/D10-1</f>
        <v>0.38375832549130684</v>
      </c>
      <c r="I34" s="7">
        <f>+I10/E10-1</f>
        <v>0.23459242297616845</v>
      </c>
      <c r="P34" s="6">
        <f>+P10/O10-1</f>
        <v>0.45335857672018376</v>
      </c>
    </row>
    <row r="35" spans="2:29" x14ac:dyDescent="0.25">
      <c r="B35" s="1" t="s">
        <v>8</v>
      </c>
      <c r="G35" s="7">
        <f>+G11/C11-1</f>
        <v>0.2966814159292035</v>
      </c>
      <c r="H35" s="7">
        <f>+H11/D11-1</f>
        <v>0.24844341838315409</v>
      </c>
      <c r="I35" s="7">
        <f>+I11/E11-1</f>
        <v>0.30600554414595282</v>
      </c>
      <c r="P35" s="6">
        <f>+P11/O11-1</f>
        <v>0.45104156148920826</v>
      </c>
      <c r="AB35" s="1" t="s">
        <v>86</v>
      </c>
      <c r="AC35" s="4">
        <f>+Z32/main!L13</f>
        <v>32332.833058057942</v>
      </c>
    </row>
    <row r="36" spans="2:29" x14ac:dyDescent="0.25">
      <c r="B36" s="1" t="s">
        <v>9</v>
      </c>
      <c r="G36" s="7">
        <f>+G12/C12-1</f>
        <v>3.4384826553531322</v>
      </c>
      <c r="H36" s="7">
        <f>+H12/D12-1</f>
        <v>2.063244729605866</v>
      </c>
      <c r="I36" s="7">
        <f>+I12/E12-1</f>
        <v>1.4672115804579771</v>
      </c>
      <c r="P36" s="6"/>
    </row>
    <row r="37" spans="2:29" x14ac:dyDescent="0.25">
      <c r="B37" s="1" t="s">
        <v>10</v>
      </c>
      <c r="G37" s="7">
        <f>+G13/C13-1</f>
        <v>-0.65033190160093712</v>
      </c>
      <c r="H37" s="7">
        <f>+H13/D13-1</f>
        <v>-0.10600756196611116</v>
      </c>
      <c r="I37" s="7">
        <f>+I13/E13-1</f>
        <v>-1.3374554102259215</v>
      </c>
      <c r="P37" s="6">
        <f>+P13/O13-1</f>
        <v>0.416015625</v>
      </c>
    </row>
    <row r="38" spans="2:29" x14ac:dyDescent="0.25">
      <c r="B38" s="3" t="s">
        <v>33</v>
      </c>
      <c r="C38" s="3"/>
      <c r="D38" s="3"/>
      <c r="E38" s="3"/>
      <c r="F38" s="3"/>
      <c r="G38" s="9">
        <f t="shared" ref="G38" si="36">+G15/C15-1</f>
        <v>0.39951494162084455</v>
      </c>
      <c r="H38" s="9">
        <f t="shared" ref="H38" si="37">+H15/D15-1</f>
        <v>0.36420592045203626</v>
      </c>
      <c r="I38" s="9">
        <f>+I15/E15-1</f>
        <v>0.27794648687347068</v>
      </c>
      <c r="P38" s="6">
        <f>+P15/O15-1</f>
        <v>0.50598303782803589</v>
      </c>
      <c r="Q38" s="6">
        <f t="shared" ref="Q38:W38" si="38">+Q15/P15-1</f>
        <v>0.35296944326858237</v>
      </c>
      <c r="R38" s="6">
        <f t="shared" si="38"/>
        <v>0.32126221105657704</v>
      </c>
      <c r="S38" s="6">
        <f t="shared" si="38"/>
        <v>0.29150408254277327</v>
      </c>
      <c r="T38" s="6">
        <f t="shared" si="38"/>
        <v>0.23250986519123051</v>
      </c>
      <c r="U38" s="6">
        <f t="shared" si="38"/>
        <v>0.229104286473653</v>
      </c>
      <c r="V38" s="6">
        <f t="shared" si="38"/>
        <v>0.22959908161775466</v>
      </c>
      <c r="W38" s="6">
        <f t="shared" si="38"/>
        <v>0.23009017538750531</v>
      </c>
    </row>
    <row r="40" spans="2:29" x14ac:dyDescent="0.25">
      <c r="B40" s="1" t="s">
        <v>76</v>
      </c>
      <c r="C40" s="7">
        <f>+C25/C15</f>
        <v>0.52557948780265518</v>
      </c>
      <c r="D40" s="7">
        <f t="shared" ref="D40:I40" si="39">+D25/D15</f>
        <v>0.5320211174779228</v>
      </c>
      <c r="E40" s="7">
        <f t="shared" si="39"/>
        <v>0.54984894854022925</v>
      </c>
      <c r="F40" s="7">
        <f t="shared" si="39"/>
        <v>0.52758355480883601</v>
      </c>
      <c r="G40" s="7">
        <f t="shared" si="39"/>
        <v>0.48677674588559633</v>
      </c>
      <c r="H40" s="7">
        <f t="shared" si="39"/>
        <v>0.49444043008025207</v>
      </c>
      <c r="I40" s="7">
        <f t="shared" si="39"/>
        <v>0.51298337524663173</v>
      </c>
      <c r="O40" s="7">
        <f t="shared" ref="O40:W40" si="40">+O25/O15</f>
        <v>0.56711674558001313</v>
      </c>
      <c r="P40" s="7">
        <f t="shared" si="40"/>
        <v>0.53410469874417954</v>
      </c>
      <c r="Q40" s="7">
        <f t="shared" si="40"/>
        <v>0.53720417274793275</v>
      </c>
      <c r="R40" s="7">
        <f t="shared" si="40"/>
        <v>0.55099122798518385</v>
      </c>
      <c r="S40" s="7">
        <f t="shared" si="40"/>
        <v>0.5742855486001659</v>
      </c>
      <c r="T40" s="7">
        <f t="shared" si="40"/>
        <v>0.59409786672837928</v>
      </c>
      <c r="U40" s="7">
        <f t="shared" si="40"/>
        <v>0.61132541332083778</v>
      </c>
      <c r="V40" s="7">
        <f t="shared" si="40"/>
        <v>0.62627748249884507</v>
      </c>
      <c r="W40" s="7">
        <f t="shared" si="40"/>
        <v>0.63926144498960158</v>
      </c>
    </row>
    <row r="43" spans="2:29" x14ac:dyDescent="0.25">
      <c r="B43" s="1" t="s">
        <v>34</v>
      </c>
      <c r="C43" s="4">
        <v>194.77500000000001</v>
      </c>
      <c r="D43" s="4">
        <f>431.424-C43</f>
        <v>236.64899999999997</v>
      </c>
      <c r="E43" s="4">
        <f>681.043-D43-C43</f>
        <v>249.619</v>
      </c>
      <c r="F43" s="4">
        <f>+P43-E43-D43-C43</f>
        <v>425.08499999999992</v>
      </c>
      <c r="G43" s="4">
        <v>283.065</v>
      </c>
      <c r="H43" s="4">
        <f>629.914-G43</f>
        <v>346.84899999999999</v>
      </c>
      <c r="I43" s="4">
        <f>979.834-H43-G43</f>
        <v>349.9199999999999</v>
      </c>
      <c r="N43" s="4">
        <v>70.350999999999999</v>
      </c>
      <c r="O43" s="4">
        <v>1020.984</v>
      </c>
      <c r="P43" s="4">
        <v>1106.1279999999999</v>
      </c>
    </row>
    <row r="44" spans="2:29" x14ac:dyDescent="0.25">
      <c r="B44" s="1" t="s">
        <v>35</v>
      </c>
      <c r="C44" s="4">
        <v>7.1929999999999996</v>
      </c>
      <c r="D44" s="4">
        <f>29.037-C44</f>
        <v>21.844000000000001</v>
      </c>
      <c r="E44" s="4">
        <f>43.301-D44-C44</f>
        <v>14.264000000000001</v>
      </c>
      <c r="F44" s="4">
        <f t="shared" ref="F44" si="41">+P44-E44-D44-C44</f>
        <v>6.9559999999999942</v>
      </c>
      <c r="G44" s="4">
        <v>9.1579999999999995</v>
      </c>
      <c r="H44" s="4">
        <f>32.394-G44</f>
        <v>23.235999999999997</v>
      </c>
      <c r="I44" s="4">
        <f>64.716-H44-G44</f>
        <v>32.321999999999996</v>
      </c>
      <c r="N44" s="4">
        <v>24.901</v>
      </c>
      <c r="O44" s="4">
        <v>59.468000000000004</v>
      </c>
      <c r="P44" s="4">
        <v>50.256999999999998</v>
      </c>
    </row>
    <row r="45" spans="2:29" x14ac:dyDescent="0.25">
      <c r="B45" s="1" t="s">
        <v>36</v>
      </c>
      <c r="C45" s="4">
        <f t="shared" ref="C45" si="42">+C43-C44</f>
        <v>187.58199999999999</v>
      </c>
      <c r="D45" s="4">
        <f t="shared" ref="D45" si="43">+D43-D44</f>
        <v>214.80499999999998</v>
      </c>
      <c r="E45" s="4">
        <f>+E43-E44</f>
        <v>235.35499999999999</v>
      </c>
      <c r="F45" s="4">
        <f t="shared" ref="F45" si="44">+F43-F44</f>
        <v>418.12899999999991</v>
      </c>
      <c r="G45" s="4">
        <f t="shared" ref="G45" si="45">+G43-G44</f>
        <v>273.90699999999998</v>
      </c>
      <c r="H45" s="4">
        <f t="shared" ref="H45" si="46">+H43-H44</f>
        <v>323.613</v>
      </c>
      <c r="I45" s="4">
        <f>+I43-I44</f>
        <v>317.5979999999999</v>
      </c>
      <c r="N45" s="4">
        <f t="shared" ref="N45:O45" si="47">+N43-N44</f>
        <v>45.45</v>
      </c>
      <c r="O45" s="4">
        <f t="shared" si="47"/>
        <v>961.51600000000008</v>
      </c>
      <c r="P45" s="4">
        <f>+P43-P44</f>
        <v>1055.8709999999999</v>
      </c>
    </row>
    <row r="46" spans="2:29" x14ac:dyDescent="0.25">
      <c r="B46" s="1" t="s">
        <v>53</v>
      </c>
      <c r="F46" s="4">
        <f t="shared" ref="F46" si="48">+SUM(C45:F45)</f>
        <v>1055.8709999999999</v>
      </c>
      <c r="G46" s="4">
        <f t="shared" ref="G46:H46" si="49">+SUM(D45:G45)</f>
        <v>1142.1959999999999</v>
      </c>
      <c r="H46" s="4">
        <f t="shared" si="49"/>
        <v>1251.0039999999999</v>
      </c>
      <c r="I46" s="4">
        <f>+SUM(F45:I45)</f>
        <v>1333.2469999999998</v>
      </c>
    </row>
    <row r="48" spans="2:29" x14ac:dyDescent="0.25">
      <c r="B48" s="1" t="s">
        <v>37</v>
      </c>
      <c r="C48" s="4"/>
      <c r="D48" s="4">
        <f>256.726-C48</f>
        <v>256.726</v>
      </c>
      <c r="E48" s="4">
        <f>399.067-D48-C48</f>
        <v>142.34100000000001</v>
      </c>
      <c r="F48" s="4"/>
      <c r="G48" s="4"/>
      <c r="H48" s="4">
        <f>323.028-G48</f>
        <v>323.02800000000002</v>
      </c>
      <c r="I48" s="4">
        <f>484.542-H48-G48</f>
        <v>161.51399999999995</v>
      </c>
    </row>
    <row r="49" spans="2:23" x14ac:dyDescent="0.25">
      <c r="C49" s="6"/>
      <c r="D49" s="6">
        <f t="shared" ref="D49" si="50">+D48/D45</f>
        <v>1.195158399478597</v>
      </c>
      <c r="E49" s="6">
        <f>+E48/E45</f>
        <v>0.60479275987338277</v>
      </c>
      <c r="F49" s="6"/>
      <c r="G49" s="6"/>
      <c r="H49" s="6">
        <f t="shared" ref="H49" si="51">+H48/H45</f>
        <v>0.99819228522957981</v>
      </c>
      <c r="I49" s="6">
        <f>+I48/I45</f>
        <v>0.508548542497119</v>
      </c>
    </row>
    <row r="51" spans="2:23" x14ac:dyDescent="0.25">
      <c r="B51" s="1" t="s">
        <v>47</v>
      </c>
      <c r="I51" s="8">
        <f>+I3/E3-1</f>
        <v>6.6666666666666652E-2</v>
      </c>
    </row>
    <row r="53" spans="2:23" x14ac:dyDescent="0.25">
      <c r="B53" s="1" t="s">
        <v>54</v>
      </c>
      <c r="N53" s="4">
        <v>7993</v>
      </c>
      <c r="O53" s="4">
        <v>7802</v>
      </c>
      <c r="P53" s="4">
        <v>8772</v>
      </c>
      <c r="Q53" s="4"/>
      <c r="R53" s="4"/>
      <c r="S53" s="4"/>
      <c r="T53" s="4"/>
      <c r="U53" s="4"/>
      <c r="V53" s="4"/>
      <c r="W53" s="4"/>
    </row>
    <row r="55" spans="2:23" x14ac:dyDescent="0.25">
      <c r="B55" s="1" t="s">
        <v>73</v>
      </c>
      <c r="C55" s="7">
        <f>+C19/C$15</f>
        <v>4.557928527306053E-2</v>
      </c>
      <c r="D55" s="7">
        <f t="shared" ref="D55:I55" si="52">+D19/D$15</f>
        <v>4.5388007476261052E-2</v>
      </c>
      <c r="E55" s="7">
        <f t="shared" si="52"/>
        <v>4.3541370005271064E-2</v>
      </c>
      <c r="F55" s="7">
        <f t="shared" si="52"/>
        <v>5.006718722899544E-2</v>
      </c>
      <c r="G55" s="7">
        <f t="shared" si="52"/>
        <v>4.7809932454677337E-2</v>
      </c>
      <c r="H55" s="7">
        <f t="shared" si="52"/>
        <v>4.3795693523597502E-2</v>
      </c>
      <c r="I55" s="7">
        <f t="shared" si="52"/>
        <v>4.2382193876451701E-2</v>
      </c>
      <c r="N55" s="7"/>
      <c r="O55" s="7">
        <f t="shared" ref="O55:P55" si="53">+O19/O$15</f>
        <v>4.7857219311942777E-2</v>
      </c>
      <c r="P55" s="7">
        <f t="shared" si="53"/>
        <v>4.633261736408343E-2</v>
      </c>
    </row>
    <row r="56" spans="2:23" x14ac:dyDescent="0.25">
      <c r="B56" s="1" t="s">
        <v>72</v>
      </c>
      <c r="C56" s="7">
        <f t="shared" ref="C56:I56" si="54">+C20/C$15</f>
        <v>1.0516349201527072E-2</v>
      </c>
      <c r="D56" s="7">
        <f t="shared" si="54"/>
        <v>1.0415314952294443E-2</v>
      </c>
      <c r="E56" s="7">
        <f t="shared" si="54"/>
        <v>9.9776569715755766E-3</v>
      </c>
      <c r="F56" s="7">
        <f t="shared" si="54"/>
        <v>1.4171512264516208E-2</v>
      </c>
      <c r="G56" s="7">
        <f>+G20/G$15</f>
        <v>1.796987775273419E-2</v>
      </c>
      <c r="H56" s="7">
        <f t="shared" si="54"/>
        <v>1.7477225204718665E-2</v>
      </c>
      <c r="I56" s="7">
        <f t="shared" si="54"/>
        <v>1.6392357723076734E-2</v>
      </c>
      <c r="N56" s="7"/>
      <c r="O56" s="7">
        <f t="shared" ref="O56:P56" si="55">+O20/O$15</f>
        <v>2.0162255074799774E-2</v>
      </c>
      <c r="P56" s="7">
        <f t="shared" si="55"/>
        <v>1.1440352445008857E-2</v>
      </c>
    </row>
    <row r="57" spans="2:23" x14ac:dyDescent="0.25">
      <c r="B57" s="1" t="s">
        <v>74</v>
      </c>
      <c r="C57" s="7">
        <f t="shared" ref="C57:I57" si="56">+C21/C$15</f>
        <v>1.4627699972658503E-2</v>
      </c>
      <c r="D57" s="7">
        <f t="shared" si="56"/>
        <v>1.3434048859779127E-2</v>
      </c>
      <c r="E57" s="7">
        <f t="shared" si="56"/>
        <v>1.2813805474041963E-2</v>
      </c>
      <c r="F57" s="7">
        <f t="shared" si="56"/>
        <v>1.9751468570918009E-2</v>
      </c>
      <c r="G57" s="7">
        <f t="shared" si="56"/>
        <v>1.3371586103101584E-2</v>
      </c>
      <c r="H57" s="7">
        <f>+H21/H$15</f>
        <v>1.297149541834032E-2</v>
      </c>
      <c r="I57" s="7">
        <f t="shared" si="56"/>
        <v>1.1224247946145773E-2</v>
      </c>
      <c r="N57" s="7"/>
      <c r="O57" s="7">
        <f t="shared" ref="O57:P57" si="57">+O21/O$15</f>
        <v>1.9496423714300104E-2</v>
      </c>
      <c r="P57" s="7">
        <f t="shared" si="57"/>
        <v>1.5400132741744142E-2</v>
      </c>
    </row>
    <row r="58" spans="2:23" x14ac:dyDescent="0.25">
      <c r="B58" s="1" t="s">
        <v>75</v>
      </c>
      <c r="C58" s="7">
        <f t="shared" ref="C58:H58" si="58">+C23/C15</f>
        <v>0.47442051219734482</v>
      </c>
      <c r="D58" s="7">
        <f t="shared" si="58"/>
        <v>0.46797888252207714</v>
      </c>
      <c r="E58" s="7">
        <f t="shared" si="58"/>
        <v>0.45015105145977069</v>
      </c>
      <c r="F58" s="7">
        <f t="shared" si="58"/>
        <v>0.47241644519116394</v>
      </c>
      <c r="G58" s="7">
        <f t="shared" si="58"/>
        <v>0.51322325411440362</v>
      </c>
      <c r="H58" s="7">
        <f t="shared" si="58"/>
        <v>0.50555956991974793</v>
      </c>
      <c r="I58" s="7">
        <f>+I23/I15</f>
        <v>0.48701662475336832</v>
      </c>
      <c r="N58" s="7"/>
      <c r="O58" s="7">
        <f t="shared" ref="O58:P58" si="59">+O23/O15</f>
        <v>0.43288325441998687</v>
      </c>
      <c r="P58" s="7">
        <f t="shared" si="59"/>
        <v>0.46589530125582052</v>
      </c>
    </row>
    <row r="60" spans="2:23" x14ac:dyDescent="0.25">
      <c r="B60" s="1" t="s">
        <v>82</v>
      </c>
      <c r="P60" s="1">
        <f>820.466-1429.502</f>
        <v>-609.03599999999994</v>
      </c>
      <c r="Q60" s="4">
        <f>+P60+Q27</f>
        <v>489.66786889000002</v>
      </c>
      <c r="R60" s="4">
        <f t="shared" ref="R60:W60" si="60">+Q60+R27</f>
        <v>1978.600250776386</v>
      </c>
      <c r="S60" s="4">
        <f t="shared" si="60"/>
        <v>3982.8598006478469</v>
      </c>
      <c r="T60" s="4">
        <f t="shared" si="60"/>
        <v>6538.3514778358121</v>
      </c>
      <c r="U60" s="4">
        <f t="shared" si="60"/>
        <v>9770.3984314535737</v>
      </c>
      <c r="V60" s="4">
        <f t="shared" si="60"/>
        <v>13841.721242058962</v>
      </c>
      <c r="W60" s="4">
        <f t="shared" si="60"/>
        <v>18953.643062830357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77AB-3123-4482-94F0-9A1A26BC09FB}">
  <dimension ref="B2:E8"/>
  <sheetViews>
    <sheetView workbookViewId="0">
      <selection activeCell="B3" sqref="B3"/>
    </sheetView>
  </sheetViews>
  <sheetFormatPr defaultRowHeight="13.2" x14ac:dyDescent="0.25"/>
  <cols>
    <col min="1" max="1" width="8.88671875" style="1"/>
    <col min="2" max="2" width="15.88671875" style="1" bestFit="1" customWidth="1"/>
    <col min="3" max="4" width="8.88671875" style="1"/>
    <col min="5" max="5" width="11.5546875" style="1" bestFit="1" customWidth="1"/>
    <col min="6" max="16384" width="8.88671875" style="1"/>
  </cols>
  <sheetData>
    <row r="2" spans="2:5" x14ac:dyDescent="0.25">
      <c r="B2" s="3" t="s">
        <v>59</v>
      </c>
      <c r="C2" s="3" t="s">
        <v>60</v>
      </c>
      <c r="D2" s="3" t="s">
        <v>61</v>
      </c>
      <c r="E2" s="3" t="s">
        <v>62</v>
      </c>
    </row>
    <row r="3" spans="2:5" ht="14.4" x14ac:dyDescent="0.3">
      <c r="B3" t="s">
        <v>63</v>
      </c>
      <c r="C3" s="1" t="s">
        <v>71</v>
      </c>
      <c r="D3" s="1">
        <v>54</v>
      </c>
      <c r="E3" s="1">
        <v>27.86</v>
      </c>
    </row>
    <row r="4" spans="2:5" ht="14.4" x14ac:dyDescent="0.3">
      <c r="B4" t="s">
        <v>64</v>
      </c>
      <c r="C4" s="1" t="s">
        <v>69</v>
      </c>
      <c r="D4" s="1">
        <v>48</v>
      </c>
      <c r="E4" s="1">
        <v>22.6</v>
      </c>
    </row>
    <row r="5" spans="2:5" ht="14.4" x14ac:dyDescent="0.3">
      <c r="B5" t="s">
        <v>65</v>
      </c>
      <c r="C5" s="1" t="s">
        <v>70</v>
      </c>
      <c r="D5" s="1">
        <v>61</v>
      </c>
    </row>
    <row r="6" spans="2:5" ht="14.4" x14ac:dyDescent="0.3">
      <c r="B6" t="s">
        <v>66</v>
      </c>
      <c r="C6" s="1" t="s">
        <v>70</v>
      </c>
      <c r="D6" s="1">
        <v>54</v>
      </c>
    </row>
    <row r="7" spans="2:5" ht="14.4" x14ac:dyDescent="0.3">
      <c r="B7" t="s">
        <v>67</v>
      </c>
      <c r="C7" s="1" t="s">
        <v>70</v>
      </c>
      <c r="D7" s="1">
        <v>55</v>
      </c>
    </row>
    <row r="8" spans="2:5" ht="14.4" x14ac:dyDescent="0.3">
      <c r="B8" t="s">
        <v>68</v>
      </c>
      <c r="C8" s="1" t="s">
        <v>70</v>
      </c>
      <c r="D8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Duarte Morais</dc:creator>
  <cp:lastModifiedBy>Alexandre Duarte Morais</cp:lastModifiedBy>
  <dcterms:created xsi:type="dcterms:W3CDTF">2024-12-06T10:57:05Z</dcterms:created>
  <dcterms:modified xsi:type="dcterms:W3CDTF">2024-12-10T20:51:20Z</dcterms:modified>
</cp:coreProperties>
</file>