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lexa\OneDrive - ISEG\Desktop\Models\"/>
    </mc:Choice>
  </mc:AlternateContent>
  <xr:revisionPtr revIDLastSave="0" documentId="13_ncr:1_{86BB8EB7-97AB-455C-9B24-066C3A357E17}" xr6:coauthVersionLast="47" xr6:coauthVersionMax="47" xr10:uidLastSave="{00000000-0000-0000-0000-000000000000}"/>
  <bookViews>
    <workbookView xWindow="-96" yWindow="0" windowWidth="11712" windowHeight="12336" activeTab="1" xr2:uid="{29810A2E-C70B-43F3-962F-4F7FB892121B}"/>
  </bookViews>
  <sheets>
    <sheet name="main" sheetId="1" r:id="rId1"/>
    <sheet name="model" sheetId="2" r:id="rId2"/>
    <sheet name="deliveri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40" i="2" l="1"/>
  <c r="V40" i="2"/>
  <c r="U40" i="2"/>
  <c r="T40" i="2"/>
  <c r="S40" i="2"/>
  <c r="R40" i="2"/>
  <c r="Q40" i="2"/>
  <c r="P40" i="2"/>
  <c r="X40" i="2"/>
  <c r="X37" i="2"/>
  <c r="X36" i="2"/>
  <c r="X35" i="2"/>
  <c r="X34" i="2"/>
  <c r="K19" i="3"/>
  <c r="K11" i="3"/>
  <c r="X33" i="2"/>
  <c r="X32" i="2"/>
  <c r="X31" i="2"/>
  <c r="X30" i="2"/>
  <c r="X25" i="2"/>
  <c r="X23" i="2"/>
  <c r="X22" i="2"/>
  <c r="X21" i="2"/>
  <c r="X19" i="2"/>
  <c r="X17" i="2"/>
  <c r="X5" i="2"/>
  <c r="X50" i="2" s="1"/>
  <c r="X4" i="2"/>
  <c r="X49" i="2" s="1"/>
  <c r="X3" i="2"/>
  <c r="X48" i="2" s="1"/>
  <c r="X2" i="2"/>
  <c r="X47" i="2" s="1"/>
  <c r="M28" i="2"/>
  <c r="I50" i="2"/>
  <c r="I49" i="2"/>
  <c r="I48" i="2"/>
  <c r="I47" i="2"/>
  <c r="M50" i="2"/>
  <c r="M49" i="2"/>
  <c r="M48" i="2"/>
  <c r="M47" i="2"/>
  <c r="M33" i="2"/>
  <c r="M32" i="2"/>
  <c r="M31" i="2"/>
  <c r="M30" i="2"/>
  <c r="L18" i="2"/>
  <c r="L20" i="2" s="1"/>
  <c r="L24" i="2" s="1"/>
  <c r="L26" i="2" s="1"/>
  <c r="L28" i="2" s="1"/>
  <c r="L33" i="2"/>
  <c r="L32" i="2"/>
  <c r="L31" i="2"/>
  <c r="L30" i="2"/>
  <c r="H53" i="2"/>
  <c r="H52" i="2"/>
  <c r="H54" i="2" s="1"/>
  <c r="H50" i="2"/>
  <c r="H49" i="2"/>
  <c r="H48" i="2"/>
  <c r="H47" i="2"/>
  <c r="L50" i="2"/>
  <c r="L49" i="2"/>
  <c r="L48" i="2"/>
  <c r="L47" i="2"/>
  <c r="K16" i="2"/>
  <c r="K18" i="2" s="1"/>
  <c r="K20" i="2" s="1"/>
  <c r="K24" i="2" s="1"/>
  <c r="K26" i="2" s="1"/>
  <c r="M16" i="2"/>
  <c r="M18" i="2" s="1"/>
  <c r="M20" i="2" s="1"/>
  <c r="M24" i="2" s="1"/>
  <c r="M26" i="2" s="1"/>
  <c r="L16" i="2"/>
  <c r="D3" i="1" a="1"/>
  <c r="D3" i="1" s="1"/>
  <c r="D5" i="1" s="1"/>
  <c r="D8" i="1" s="1"/>
  <c r="D10" i="1" s="1"/>
  <c r="B19" i="3"/>
  <c r="D11" i="3"/>
  <c r="O50" i="2"/>
  <c r="O49" i="2"/>
  <c r="O48" i="2"/>
  <c r="O47" i="2"/>
  <c r="P37" i="2"/>
  <c r="P36" i="2"/>
  <c r="P35" i="2"/>
  <c r="P34" i="2"/>
  <c r="P33" i="2"/>
  <c r="P32" i="2"/>
  <c r="P31" i="2"/>
  <c r="P30" i="2"/>
  <c r="S37" i="2"/>
  <c r="R37" i="2"/>
  <c r="Q37" i="2"/>
  <c r="S36" i="2"/>
  <c r="R36" i="2"/>
  <c r="Q36" i="2"/>
  <c r="S35" i="2"/>
  <c r="R35" i="2"/>
  <c r="Q35" i="2"/>
  <c r="S34" i="2"/>
  <c r="R34" i="2"/>
  <c r="Q34" i="2"/>
  <c r="S33" i="2"/>
  <c r="R33" i="2"/>
  <c r="Q33" i="2"/>
  <c r="S32" i="2"/>
  <c r="R32" i="2"/>
  <c r="Q32" i="2"/>
  <c r="S31" i="2"/>
  <c r="R31" i="2"/>
  <c r="Q31" i="2"/>
  <c r="S30" i="2"/>
  <c r="R30" i="2"/>
  <c r="Q30" i="2"/>
  <c r="R50" i="2"/>
  <c r="Q50" i="2"/>
  <c r="P50" i="2"/>
  <c r="R49" i="2"/>
  <c r="Q49" i="2"/>
  <c r="P49" i="2"/>
  <c r="R48" i="2"/>
  <c r="Q48" i="2"/>
  <c r="P48" i="2"/>
  <c r="R47" i="2"/>
  <c r="Q47" i="2"/>
  <c r="P47" i="2"/>
  <c r="T37" i="2"/>
  <c r="T36" i="2"/>
  <c r="T35" i="2"/>
  <c r="T34" i="2"/>
  <c r="T33" i="2"/>
  <c r="T32" i="2"/>
  <c r="T31" i="2"/>
  <c r="T30" i="2"/>
  <c r="S50" i="2"/>
  <c r="S49" i="2"/>
  <c r="S48" i="2"/>
  <c r="S47" i="2"/>
  <c r="U37" i="2"/>
  <c r="U36" i="2"/>
  <c r="U35" i="2"/>
  <c r="U34" i="2"/>
  <c r="U33" i="2"/>
  <c r="U32" i="2"/>
  <c r="U31" i="2"/>
  <c r="U30" i="2"/>
  <c r="T50" i="2"/>
  <c r="T49" i="2"/>
  <c r="T48" i="2"/>
  <c r="T47" i="2"/>
  <c r="Y28" i="2"/>
  <c r="I19" i="3"/>
  <c r="H19" i="3"/>
  <c r="G19" i="3"/>
  <c r="F19" i="3"/>
  <c r="E19" i="3"/>
  <c r="D19" i="3"/>
  <c r="C19" i="3"/>
  <c r="J19" i="3"/>
  <c r="I11" i="3"/>
  <c r="H11" i="3"/>
  <c r="G11" i="3"/>
  <c r="F11" i="3"/>
  <c r="E11" i="3"/>
  <c r="C11" i="3"/>
  <c r="B11" i="3"/>
  <c r="J11" i="3"/>
  <c r="C2" i="3"/>
  <c r="D2" i="3" s="1"/>
  <c r="E2" i="3" s="1"/>
  <c r="F2" i="3" s="1"/>
  <c r="G2" i="3" s="1"/>
  <c r="H2" i="3" s="1"/>
  <c r="I2" i="3" s="1"/>
  <c r="J2" i="3" s="1"/>
  <c r="W37" i="2"/>
  <c r="V37" i="2"/>
  <c r="W36" i="2"/>
  <c r="V36" i="2"/>
  <c r="W35" i="2"/>
  <c r="V35" i="2"/>
  <c r="V34" i="2"/>
  <c r="W34" i="2"/>
  <c r="W50" i="2"/>
  <c r="V50" i="2"/>
  <c r="U50" i="2"/>
  <c r="W49" i="2"/>
  <c r="V49" i="2"/>
  <c r="U49" i="2"/>
  <c r="W48" i="2"/>
  <c r="V48" i="2"/>
  <c r="U48" i="2"/>
  <c r="W47" i="2"/>
  <c r="V47" i="2"/>
  <c r="U47" i="2"/>
  <c r="V33" i="2"/>
  <c r="V32" i="2"/>
  <c r="V31" i="2"/>
  <c r="V30" i="2"/>
  <c r="W33" i="2"/>
  <c r="W32" i="2"/>
  <c r="W31" i="2"/>
  <c r="W30" i="2"/>
  <c r="Y54" i="2"/>
  <c r="X54" i="2"/>
  <c r="W54" i="2"/>
  <c r="V54" i="2"/>
  <c r="U54" i="2"/>
  <c r="T54" i="2"/>
  <c r="S54" i="2"/>
  <c r="R54" i="2"/>
  <c r="Q54" i="2"/>
  <c r="P54" i="2"/>
  <c r="O54" i="2"/>
  <c r="X16" i="2"/>
  <c r="X38" i="2" s="1"/>
  <c r="W16" i="2"/>
  <c r="W18" i="2" s="1"/>
  <c r="W20" i="2" s="1"/>
  <c r="W24" i="2" s="1"/>
  <c r="W26" i="2" s="1"/>
  <c r="W28" i="2" s="1"/>
  <c r="V16" i="2"/>
  <c r="V18" i="2" s="1"/>
  <c r="V20" i="2" s="1"/>
  <c r="V24" i="2" s="1"/>
  <c r="V26" i="2" s="1"/>
  <c r="V28" i="2" s="1"/>
  <c r="U16" i="2"/>
  <c r="U18" i="2" s="1"/>
  <c r="U20" i="2" s="1"/>
  <c r="U24" i="2" s="1"/>
  <c r="U26" i="2" s="1"/>
  <c r="U28" i="2" s="1"/>
  <c r="T16" i="2"/>
  <c r="T18" i="2" s="1"/>
  <c r="T20" i="2" s="1"/>
  <c r="T24" i="2" s="1"/>
  <c r="T26" i="2" s="1"/>
  <c r="T28" i="2" s="1"/>
  <c r="S16" i="2"/>
  <c r="S18" i="2" s="1"/>
  <c r="S20" i="2" s="1"/>
  <c r="S24" i="2" s="1"/>
  <c r="S26" i="2" s="1"/>
  <c r="S28" i="2" s="1"/>
  <c r="R16" i="2"/>
  <c r="R18" i="2" s="1"/>
  <c r="R20" i="2" s="1"/>
  <c r="R24" i="2" s="1"/>
  <c r="R26" i="2" s="1"/>
  <c r="R28" i="2" s="1"/>
  <c r="Q16" i="2"/>
  <c r="Q18" i="2" s="1"/>
  <c r="Q20" i="2" s="1"/>
  <c r="Q24" i="2" s="1"/>
  <c r="Q26" i="2" s="1"/>
  <c r="Q28" i="2" s="1"/>
  <c r="P16" i="2"/>
  <c r="P18" i="2" s="1"/>
  <c r="P20" i="2" s="1"/>
  <c r="P24" i="2" s="1"/>
  <c r="P26" i="2" s="1"/>
  <c r="P28" i="2" s="1"/>
  <c r="O16" i="2"/>
  <c r="O18" i="2" s="1"/>
  <c r="O20" i="2" s="1"/>
  <c r="O24" i="2" s="1"/>
  <c r="O26" i="2" s="1"/>
  <c r="O28" i="2" s="1"/>
  <c r="P1" i="2"/>
  <c r="Q1" i="2" s="1"/>
  <c r="R1" i="2" s="1"/>
  <c r="S1" i="2" s="1"/>
  <c r="T1" i="2" s="1"/>
  <c r="U1" i="2" s="1"/>
  <c r="V1" i="2" s="1"/>
  <c r="W1" i="2" s="1"/>
  <c r="X1" i="2" s="1"/>
  <c r="Y1" i="2" s="1"/>
  <c r="F50" i="2"/>
  <c r="F49" i="2"/>
  <c r="F48" i="2"/>
  <c r="F47" i="2"/>
  <c r="J50" i="2"/>
  <c r="J49" i="2"/>
  <c r="J48" i="2"/>
  <c r="J47" i="2"/>
  <c r="J33" i="2"/>
  <c r="J32" i="2"/>
  <c r="J31" i="2"/>
  <c r="J30" i="2"/>
  <c r="G53" i="2"/>
  <c r="G52" i="2"/>
  <c r="K53" i="2"/>
  <c r="L53" i="2" s="1"/>
  <c r="K52" i="2"/>
  <c r="L52" i="2" s="1"/>
  <c r="L54" i="2" s="1"/>
  <c r="K56" i="2"/>
  <c r="J54" i="2"/>
  <c r="I54" i="2"/>
  <c r="F54" i="2"/>
  <c r="E54" i="2"/>
  <c r="D54" i="2"/>
  <c r="C54" i="2"/>
  <c r="B54" i="2"/>
  <c r="K77" i="2"/>
  <c r="K67" i="2"/>
  <c r="K33" i="2"/>
  <c r="K32" i="2"/>
  <c r="K31" i="2"/>
  <c r="K30" i="2"/>
  <c r="G50" i="2"/>
  <c r="G49" i="2"/>
  <c r="G48" i="2"/>
  <c r="G47" i="2"/>
  <c r="K50" i="2"/>
  <c r="K49" i="2"/>
  <c r="K48" i="2"/>
  <c r="K47" i="2"/>
  <c r="J16" i="2"/>
  <c r="J18" i="2" s="1"/>
  <c r="J20" i="2" s="1"/>
  <c r="J24" i="2" s="1"/>
  <c r="J26" i="2" s="1"/>
  <c r="I16" i="2"/>
  <c r="I18" i="2" s="1"/>
  <c r="I20" i="2" s="1"/>
  <c r="I24" i="2" s="1"/>
  <c r="I26" i="2" s="1"/>
  <c r="I28" i="2" s="1"/>
  <c r="H16" i="2"/>
  <c r="H18" i="2" s="1"/>
  <c r="H20" i="2" s="1"/>
  <c r="H24" i="2" s="1"/>
  <c r="H26" i="2" s="1"/>
  <c r="H28" i="2" s="1"/>
  <c r="G16" i="2"/>
  <c r="G18" i="2" s="1"/>
  <c r="G20" i="2" s="1"/>
  <c r="G24" i="2" s="1"/>
  <c r="G26" i="2" s="1"/>
  <c r="F16" i="2"/>
  <c r="F18" i="2" s="1"/>
  <c r="F20" i="2" s="1"/>
  <c r="F24" i="2" s="1"/>
  <c r="F26" i="2" s="1"/>
  <c r="E16" i="2"/>
  <c r="E18" i="2" s="1"/>
  <c r="E20" i="2" s="1"/>
  <c r="E24" i="2" s="1"/>
  <c r="E26" i="2" s="1"/>
  <c r="D16" i="2"/>
  <c r="D18" i="2" s="1"/>
  <c r="D20" i="2" s="1"/>
  <c r="D24" i="2" s="1"/>
  <c r="D26" i="2" s="1"/>
  <c r="C16" i="2"/>
  <c r="C18" i="2" s="1"/>
  <c r="C20" i="2" s="1"/>
  <c r="C24" i="2" s="1"/>
  <c r="C26" i="2" s="1"/>
  <c r="B16" i="2"/>
  <c r="B18" i="2" s="1"/>
  <c r="B20" i="2" s="1"/>
  <c r="B24" i="2" s="1"/>
  <c r="B26" i="2" s="1"/>
  <c r="D7" i="1"/>
  <c r="P38" i="2" l="1"/>
  <c r="Q38" i="2"/>
  <c r="R38" i="2"/>
  <c r="S38" i="2"/>
  <c r="X18" i="2"/>
  <c r="X20" i="2" s="1"/>
  <c r="X24" i="2" s="1"/>
  <c r="T38" i="2"/>
  <c r="U38" i="2"/>
  <c r="V38" i="2"/>
  <c r="W38" i="2"/>
  <c r="G54" i="2"/>
  <c r="K78" i="2"/>
  <c r="K54" i="2"/>
  <c r="X26" i="2" l="1"/>
  <c r="X28"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<sst xmlns="http://schemas.openxmlformats.org/spreadsheetml/2006/main" count="105" uniqueCount="94">
  <si>
    <t>ticket</t>
  </si>
  <si>
    <t>price</t>
  </si>
  <si>
    <t>shares</t>
  </si>
  <si>
    <t>mc</t>
  </si>
  <si>
    <t>cash</t>
  </si>
  <si>
    <t>debt</t>
  </si>
  <si>
    <t>Aeronautics</t>
  </si>
  <si>
    <t>Missiles and Fire Control</t>
  </si>
  <si>
    <t>Rotary and Mission Systems</t>
  </si>
  <si>
    <t>Space</t>
  </si>
  <si>
    <t>Q2 2024</t>
  </si>
  <si>
    <t>Q2 2023</t>
  </si>
  <si>
    <t>Q1 2023</t>
  </si>
  <si>
    <t>Q3 2023</t>
  </si>
  <si>
    <t>Q4 2023</t>
  </si>
  <si>
    <t>Q1 2024</t>
  </si>
  <si>
    <t>Q1 2022</t>
  </si>
  <si>
    <t>Q2 2022</t>
  </si>
  <si>
    <t>Q3 2022</t>
  </si>
  <si>
    <t>Q4 2022</t>
  </si>
  <si>
    <t>Products</t>
  </si>
  <si>
    <t>Services</t>
  </si>
  <si>
    <t>Revenue</t>
  </si>
  <si>
    <t>Operating Profit</t>
  </si>
  <si>
    <t>Aeronautics OM %</t>
  </si>
  <si>
    <t>Missiles and Fire Control OM %</t>
  </si>
  <si>
    <t>Rotary and Mission Systems OM %</t>
  </si>
  <si>
    <t>Space OM %</t>
  </si>
  <si>
    <t>CFFO</t>
  </si>
  <si>
    <t>CAPEX</t>
  </si>
  <si>
    <t>FCF</t>
  </si>
  <si>
    <t>COGS</t>
  </si>
  <si>
    <t>Gross Profit</t>
  </si>
  <si>
    <t>Other Income</t>
  </si>
  <si>
    <t>Operating Income</t>
  </si>
  <si>
    <t>Interest income</t>
  </si>
  <si>
    <t>Non-service FAS pension income</t>
  </si>
  <si>
    <t>Other non-operating income</t>
  </si>
  <si>
    <t>Pretax Income</t>
  </si>
  <si>
    <t>Taxes</t>
  </si>
  <si>
    <t>Net Income</t>
  </si>
  <si>
    <t>Shares</t>
  </si>
  <si>
    <t>EPS</t>
  </si>
  <si>
    <t>Aeronautics y/y</t>
  </si>
  <si>
    <t>Missiles and Fire Control y/y</t>
  </si>
  <si>
    <t>Rotary and Mission Systems y/y</t>
  </si>
  <si>
    <t>Space y/y</t>
  </si>
  <si>
    <t>net cash</t>
  </si>
  <si>
    <t>AR</t>
  </si>
  <si>
    <t>Contract assets</t>
  </si>
  <si>
    <t>Inventories</t>
  </si>
  <si>
    <t>Other CA</t>
  </si>
  <si>
    <t>PPE</t>
  </si>
  <si>
    <t>Goodwill</t>
  </si>
  <si>
    <t>Intangibles</t>
  </si>
  <si>
    <t>Deferred income taxes</t>
  </si>
  <si>
    <t>Other NC Assets</t>
  </si>
  <si>
    <t>Total Assets</t>
  </si>
  <si>
    <t>AP</t>
  </si>
  <si>
    <t>Salaries, beneficts and payroll taxes</t>
  </si>
  <si>
    <t>Contract liabilities</t>
  </si>
  <si>
    <t>ST Debt</t>
  </si>
  <si>
    <t>Other CL</t>
  </si>
  <si>
    <t>LT Debt</t>
  </si>
  <si>
    <t>Accrued pension liabilities</t>
  </si>
  <si>
    <t>Other NC Liabilities</t>
  </si>
  <si>
    <t>Total Liabilities</t>
  </si>
  <si>
    <t>S/E</t>
  </si>
  <si>
    <t>US</t>
  </si>
  <si>
    <t>Europe</t>
  </si>
  <si>
    <t>ME</t>
  </si>
  <si>
    <t>Other</t>
  </si>
  <si>
    <t>US y/y</t>
  </si>
  <si>
    <t>Europe y/y</t>
  </si>
  <si>
    <t>AP y/y</t>
  </si>
  <si>
    <t>ME y/y</t>
  </si>
  <si>
    <t>Aircraft deliveries</t>
  </si>
  <si>
    <t>F-35</t>
  </si>
  <si>
    <t>F-16</t>
  </si>
  <si>
    <t>C-130J</t>
  </si>
  <si>
    <t>Government helicopter programs</t>
  </si>
  <si>
    <t>Commercial helicopter programs</t>
  </si>
  <si>
    <t>International military helicopter programs</t>
  </si>
  <si>
    <t>Total</t>
  </si>
  <si>
    <t>Backlog $millions</t>
  </si>
  <si>
    <t>C-5</t>
  </si>
  <si>
    <t>Revenue y/y</t>
  </si>
  <si>
    <t>Other fixed-wing aircraft</t>
  </si>
  <si>
    <t>Information Systems &amp; Global Solutions</t>
  </si>
  <si>
    <t>Q3 2024</t>
  </si>
  <si>
    <t>Q4 2024</t>
  </si>
  <si>
    <t>EV</t>
  </si>
  <si>
    <t>EV/FCF</t>
  </si>
  <si>
    <t>Gross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</si>
</sst>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0.0%"/>
    <numFmt numFmtId="165" formatCode="_-[$$-409]* #,##0.00_ ;_-[$$-409]* \-#,##0.00\ ;_-[$$-409]* &quot;-&quot;??_ ;_-@_ "/>
    <numFmt numFmtId="166" formatCode="_([$$-409]* #,##0.00_);_([$$-409]* \(#,##0.00\);_([$$-409]* &quot;-&quot;??_);_(@_)"/>
    <numFmt numFmtId="167" formatCode="0.0\x"/>
  </numFmts>
  <fonts count="3" x14ac:knownFonts="1">
    <font>
      <sz val="11"/>
      <color theme="1"/>
      <name val="Aptos Narrow"/>
      <family val="2"/>
      <scheme val="minor"/>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3" fontId="1" fillId="0" borderId="0" xfId="0" applyNumberFormat="1" applyFont="1"/>
    <xf numFmtId="0" fontId="1" fillId="0" borderId="0" xfId="0" applyFont="1" applyAlignment="1">
      <alignment horizontal="right"/>
    </xf>
    <xf numFmtId="0" fontId="2" fillId="0" borderId="0" xfId="0" applyFont="1"/>
    <xf numFmtId="3" fontId="2" fillId="0" borderId="0" xfId="0" applyNumberFormat="1" applyFont="1"/>
    <xf numFmtId="9" fontId="1" fillId="0" borderId="0" xfId="0" applyNumberFormat="1" applyFont="1"/>
    <xf numFmtId="164" fontId="1" fillId="0" borderId="0" xfId="0" applyNumberFormat="1" applyFont="1"/>
    <xf numFmtId="165" fontId="1" fillId="0" borderId="0" xfId="0" applyNumberFormat="1" applyFont="1"/>
    <xf numFmtId="164" fontId="2" fillId="0" borderId="0" xfId="0" applyNumberFormat="1" applyFont="1"/>
    <xf numFmtId="166" fontId="1" fillId="0" borderId="0" xfId="0" applyNumberFormat="1" applyFont="1"/>
    <xf numFmtId="8" fontId="1" fillId="0" borderId="0" xfId="0" applyNumberFormat="1" applyFont="1"/>
    <xf numFmtId="167"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24</xdr:col>
      <xdr:colOff>16934</xdr:colOff>
      <xdr:row>0</xdr:row>
      <xdr:rowOff>25400</xdr:rowOff>
    </xdr:from>
    <xdr:to>
      <xdr:col>24</xdr:col>
      <xdr:colOff>33867</xdr:colOff>
      <xdr:row>64</xdr:row>
      <xdr:rowOff>127000</xdr:rowOff>
    </xdr:to>
    <xdr:cxnSp macro="">
      <xdr:nvCxnSpPr>
        <xdr:cNvPr id="3" name="Straight Connector 2">
          <a:extLst>
            <a:ext uri="{FF2B5EF4-FFF2-40B4-BE49-F238E27FC236}">
              <a16:creationId xmlns:a16="http://schemas.microsoft.com/office/drawing/2014/main" id="{C7E5FCBF-0AC4-1884-7B91-AA16D8029034}"/>
            </a:ext>
          </a:extLst>
        </xdr:cNvPr>
        <xdr:cNvCxnSpPr/>
      </xdr:nvCxnSpPr>
      <xdr:spPr>
        <a:xfrm>
          <a:off x="16594667" y="25400"/>
          <a:ext cx="16933" cy="107696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https://www.bing.com/financeapi/forcetrigger?t=a1wzw7&amp;q=XNYS%3aLMT&amp;form=skydnc</v>
    <v>Learn more on Bing</v>
  </rv>
  <rv s="1">
    <v>en-US</v>
    <v>a1wzw7</v>
    <v>268435456</v>
    <v>1</v>
    <v>Powered by Refinitiv</v>
    <v>0</v>
    <v>LOCKHEED MARTIN CORPORATION (XNYS:LMT)</v>
    <v>2</v>
    <v>3</v>
    <v>Finance</v>
    <v>4</v>
    <v>618.95000000000005</v>
    <v>419.7</v>
    <v>0.42370000000000002</v>
    <v>5.41</v>
    <v>1.2784E-2</v>
    <v>USD</v>
    <v>Lockheed Martin Corporation is a global aerospace and defense company. The Company is engaged in the research, design, development, manufacture, integration and sustainment of advanced technology systems, products and services. Its segments include Aeronautics, Missiles and Fire Control (MFC), Rotary and Mission Systems (RMS) and Space. Aeronautics segment is engaged in the research, design, development, manufacture, integration, sustainment, support and upgrade of advanced military aircraft. MFC segment provides air and missile defense systems, manned and unmanned ground vehicles, energy management solutions, and others. RMS segment designs, manufactures, services and supports various military and commercial helicopters, surface ships, sea and land-based missile defense systems, and others. Its Space segment is engaged in the research and design, development, engineering and production of satellites, space transportation systems, and strategic, advanced strike, and defensive systems.</v>
    <v>121000</v>
    <v>New York Stock Exchange</v>
    <v>XNYS</v>
    <v>XNYS</v>
    <v>6801 ROCKLEDGE DR, BETHESDA, MD, 20817 US</v>
    <v>432.93</v>
    <v>Aerospace &amp; Defense</v>
    <v>Stock</v>
    <v>45706.99567384219</v>
    <v>0</v>
    <v>423.5</v>
    <v>100886396740</v>
    <v>LOCKHEED MARTIN CORPORATION</v>
    <v>LOCKHEED MARTIN CORPORATION</v>
    <v>429.69</v>
    <v>19.2441</v>
    <v>423.19</v>
    <v>428.6</v>
    <v>235385900</v>
    <v>LMT</v>
    <v>LOCKHEED MARTIN CORPORATION (XNYS:LMT)</v>
    <v>1030</v>
    <v>1561236</v>
    <v>1994</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0C8D0-1413-4286-9F89-79229E7517E5}">
  <dimension ref="C2:D10"/>
  <sheetViews>
    <sheetView workbookViewId="0">
      <selection activeCell="H8" sqref="H8"/>
    </sheetView>
  </sheetViews>
  <sheetFormatPr defaultColWidth="9.109375" defaultRowHeight="13.2" x14ac:dyDescent="0.25"/>
  <cols>
    <col min="1" max="16384" width="9.109375" style="1"/>
  </cols>
  <sheetData>
    <row r="2" spans="3:4" x14ac:dyDescent="0.25">
      <c r="C2" s="1" t="s">
        <v>0</v>
      </c>
      <c r="D2" s="3" t="e" vm="1">
        <v>#VALUE!</v>
      </c>
    </row>
    <row r="3" spans="3:4" x14ac:dyDescent="0.25">
      <c r="C3" s="1" t="s">
        <v>1</v>
      </c>
      <c r="D3" s="10" cm="1">
        <f t="array" aca="1" ref="D3" ca="1">+_FV(D2,"Price")</f>
        <v>428.6</v>
      </c>
    </row>
    <row r="4" spans="3:4" x14ac:dyDescent="0.25">
      <c r="C4" s="1" t="s">
        <v>2</v>
      </c>
      <c r="D4" s="1">
        <v>238.358003</v>
      </c>
    </row>
    <row r="5" spans="3:4" x14ac:dyDescent="0.25">
      <c r="C5" s="1" t="s">
        <v>3</v>
      </c>
      <c r="D5" s="2">
        <f ca="1">+D3*D4</f>
        <v>102160.2400858</v>
      </c>
    </row>
    <row r="6" spans="3:4" x14ac:dyDescent="0.25">
      <c r="C6" s="1" t="s">
        <v>4</v>
      </c>
      <c r="D6" s="2">
        <v>2523</v>
      </c>
    </row>
    <row r="7" spans="3:4" x14ac:dyDescent="0.25">
      <c r="C7" s="1" t="s">
        <v>5</v>
      </c>
      <c r="D7" s="2">
        <f>142+19115</f>
        <v>19257</v>
      </c>
    </row>
    <row r="8" spans="3:4" x14ac:dyDescent="0.25">
      <c r="C8" s="1" t="s">
        <v>91</v>
      </c>
      <c r="D8" s="2">
        <f ca="1">+D5-D6+D7</f>
        <v>118894.2400858</v>
      </c>
    </row>
    <row r="10" spans="3:4" x14ac:dyDescent="0.25">
      <c r="C10" s="4" t="s">
        <v>92</v>
      </c>
      <c r="D10" s="12">
        <f ca="1">+D8/6122</f>
        <v>19.420816740574978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C0ED2-7467-4B22-A404-B64263A8A89B}">
  <dimension ref="A1:Y78"/>
  <sheetViews>
    <sheetView tabSelected="1" zoomScale="90" zoomScaleNormal="90" workbookViewId="0">
      <pane xSplit="1" ySplit="1" topLeftCell="S2" activePane="bottomRight" state="frozen"/>
      <selection pane="topRight" activeCell="B1" sqref="B1"/>
      <selection pane="bottomLeft" activeCell="A2" sqref="A2"/>
      <selection pane="bottomRight" activeCell="X34" sqref="X34"/>
    </sheetView>
  </sheetViews>
  <sheetFormatPr defaultColWidth="9.109375" defaultRowHeight="13.2" x14ac:dyDescent="0.25"/>
  <cols>
    <col min="1" max="1" width="31.5546875" style="1" bestFit="1" customWidth="1"/>
    <col min="2" max="16384" width="9.109375" style="1"/>
  </cols>
  <sheetData>
    <row r="1" spans="1:25" x14ac:dyDescent="0.25">
      <c r="B1" s="4" t="s">
        <v>16</v>
      </c>
      <c r="C1" s="4" t="s">
        <v>17</v>
      </c>
      <c r="D1" s="4" t="s">
        <v>18</v>
      </c>
      <c r="E1" s="4" t="s">
        <v>19</v>
      </c>
      <c r="F1" s="4" t="s">
        <v>12</v>
      </c>
      <c r="G1" s="4" t="s">
        <v>11</v>
      </c>
      <c r="H1" s="4" t="s">
        <v>13</v>
      </c>
      <c r="I1" s="4" t="s">
        <v>14</v>
      </c>
      <c r="J1" s="4" t="s">
        <v>15</v>
      </c>
      <c r="K1" s="4" t="s">
        <v>10</v>
      </c>
      <c r="L1" s="4" t="s">
        <v>89</v>
      </c>
      <c r="M1" s="4" t="s">
        <v>90</v>
      </c>
      <c r="O1" s="4">
        <v>2015</v>
      </c>
      <c r="P1" s="4">
        <f>+O1+1</f>
        <v>2016</v>
      </c>
      <c r="Q1" s="4">
        <f t="shared" ref="Q1:Y1" si="0">+P1+1</f>
        <v>2017</v>
      </c>
      <c r="R1" s="4">
        <f t="shared" si="0"/>
        <v>2018</v>
      </c>
      <c r="S1" s="4">
        <f t="shared" si="0"/>
        <v>2019</v>
      </c>
      <c r="T1" s="4">
        <f t="shared" si="0"/>
        <v>2020</v>
      </c>
      <c r="U1" s="4">
        <f t="shared" si="0"/>
        <v>2021</v>
      </c>
      <c r="V1" s="4">
        <f t="shared" si="0"/>
        <v>2022</v>
      </c>
      <c r="W1" s="4">
        <f t="shared" si="0"/>
        <v>2023</v>
      </c>
      <c r="X1" s="4">
        <f t="shared" si="0"/>
        <v>2024</v>
      </c>
      <c r="Y1" s="4">
        <f t="shared" si="0"/>
        <v>2025</v>
      </c>
    </row>
    <row r="2" spans="1:25" s="2" customFormat="1" x14ac:dyDescent="0.25">
      <c r="A2" s="1" t="s">
        <v>6</v>
      </c>
      <c r="F2" s="2">
        <v>6269</v>
      </c>
      <c r="G2" s="2">
        <v>6875</v>
      </c>
      <c r="H2" s="2">
        <v>6717</v>
      </c>
      <c r="I2" s="2">
        <v>7613</v>
      </c>
      <c r="J2" s="2">
        <v>6845</v>
      </c>
      <c r="K2" s="2">
        <v>7277</v>
      </c>
      <c r="L2" s="2">
        <v>6487</v>
      </c>
      <c r="M2" s="2">
        <v>8009</v>
      </c>
      <c r="N2" s="1"/>
      <c r="O2" s="2">
        <v>15570</v>
      </c>
      <c r="P2" s="2">
        <v>17293</v>
      </c>
      <c r="Q2" s="2">
        <v>19410</v>
      </c>
      <c r="R2" s="2">
        <v>21242</v>
      </c>
      <c r="S2" s="2">
        <v>23693</v>
      </c>
      <c r="T2" s="2">
        <v>26266</v>
      </c>
      <c r="U2" s="2">
        <v>26748</v>
      </c>
      <c r="V2" s="2">
        <v>26987</v>
      </c>
      <c r="W2" s="2">
        <v>27474</v>
      </c>
      <c r="X2" s="2">
        <f>+SUM(J2:M2)</f>
        <v>28618</v>
      </c>
    </row>
    <row r="3" spans="1:25" s="2" customFormat="1" x14ac:dyDescent="0.25">
      <c r="A3" s="1" t="s">
        <v>7</v>
      </c>
      <c r="F3" s="2">
        <v>2388</v>
      </c>
      <c r="G3" s="2">
        <v>2755</v>
      </c>
      <c r="H3" s="2">
        <v>2939</v>
      </c>
      <c r="I3" s="2">
        <v>3171</v>
      </c>
      <c r="J3" s="2">
        <v>2993</v>
      </c>
      <c r="K3" s="2">
        <v>3102</v>
      </c>
      <c r="L3" s="2">
        <v>3175</v>
      </c>
      <c r="M3" s="2">
        <v>3412</v>
      </c>
      <c r="N3" s="1"/>
      <c r="O3" s="2">
        <v>6770</v>
      </c>
      <c r="P3" s="2">
        <v>6789</v>
      </c>
      <c r="Q3" s="2">
        <v>7282</v>
      </c>
      <c r="R3" s="2">
        <v>8462</v>
      </c>
      <c r="S3" s="2">
        <v>10131</v>
      </c>
      <c r="T3" s="2">
        <v>11257</v>
      </c>
      <c r="U3" s="2">
        <v>11693</v>
      </c>
      <c r="V3" s="2">
        <v>11317</v>
      </c>
      <c r="W3" s="2">
        <v>11523</v>
      </c>
      <c r="X3" s="2">
        <f t="shared" ref="X3:X5" si="1">+SUM(J3:M3)</f>
        <v>12682</v>
      </c>
    </row>
    <row r="4" spans="1:25" s="2" customFormat="1" x14ac:dyDescent="0.25">
      <c r="A4" s="1" t="s">
        <v>8</v>
      </c>
      <c r="F4" s="2">
        <v>3510</v>
      </c>
      <c r="G4" s="2">
        <v>3897</v>
      </c>
      <c r="H4" s="2">
        <v>4121</v>
      </c>
      <c r="I4" s="2">
        <v>4711</v>
      </c>
      <c r="J4" s="2">
        <v>4088</v>
      </c>
      <c r="K4" s="2">
        <v>4548</v>
      </c>
      <c r="L4" s="2">
        <v>4367</v>
      </c>
      <c r="M4" s="2">
        <v>4261</v>
      </c>
      <c r="N4" s="1"/>
      <c r="O4" s="2">
        <v>9091</v>
      </c>
      <c r="P4" s="2">
        <v>13595</v>
      </c>
      <c r="Q4" s="2">
        <v>13663</v>
      </c>
      <c r="R4" s="2">
        <v>14250</v>
      </c>
      <c r="S4" s="2">
        <v>15128</v>
      </c>
      <c r="T4" s="2">
        <v>15995</v>
      </c>
      <c r="U4" s="2">
        <v>16789</v>
      </c>
      <c r="V4" s="2">
        <v>16148</v>
      </c>
      <c r="W4" s="2">
        <v>16239</v>
      </c>
      <c r="X4" s="2">
        <f t="shared" si="1"/>
        <v>17264</v>
      </c>
    </row>
    <row r="5" spans="1:25" s="2" customFormat="1" x14ac:dyDescent="0.25">
      <c r="A5" s="1" t="s">
        <v>9</v>
      </c>
      <c r="F5" s="2">
        <v>2959</v>
      </c>
      <c r="G5" s="2">
        <v>3166</v>
      </c>
      <c r="H5" s="2">
        <v>3101</v>
      </c>
      <c r="I5" s="2">
        <v>3379</v>
      </c>
      <c r="J5" s="2">
        <v>3269</v>
      </c>
      <c r="K5" s="2">
        <v>3195</v>
      </c>
      <c r="L5" s="2">
        <v>3075</v>
      </c>
      <c r="M5" s="2">
        <v>2940</v>
      </c>
      <c r="N5" s="1"/>
      <c r="O5" s="2">
        <v>9105</v>
      </c>
      <c r="P5" s="2">
        <v>9613</v>
      </c>
      <c r="Q5" s="2">
        <v>9605</v>
      </c>
      <c r="R5" s="2">
        <v>9808</v>
      </c>
      <c r="S5" s="2">
        <v>10860</v>
      </c>
      <c r="T5" s="2">
        <v>11880</v>
      </c>
      <c r="U5" s="2">
        <v>11814</v>
      </c>
      <c r="V5" s="2">
        <v>11532</v>
      </c>
      <c r="W5" s="2">
        <v>12605</v>
      </c>
      <c r="X5" s="2">
        <f t="shared" si="1"/>
        <v>12479</v>
      </c>
    </row>
    <row r="6" spans="1:25" s="2" customFormat="1" x14ac:dyDescent="0.25">
      <c r="A6" s="1"/>
      <c r="N6" s="1"/>
    </row>
    <row r="7" spans="1:25" s="2" customFormat="1" x14ac:dyDescent="0.25">
      <c r="A7" s="1" t="s">
        <v>20</v>
      </c>
      <c r="F7" s="2">
        <v>12526</v>
      </c>
      <c r="G7" s="2">
        <v>13758</v>
      </c>
      <c r="J7" s="2">
        <v>14196</v>
      </c>
      <c r="K7" s="2">
        <v>15109</v>
      </c>
      <c r="N7" s="1"/>
      <c r="O7" s="2">
        <v>34868</v>
      </c>
      <c r="P7" s="2">
        <v>40081</v>
      </c>
      <c r="Q7" s="2">
        <v>42502</v>
      </c>
      <c r="R7" s="2">
        <v>45005</v>
      </c>
      <c r="S7" s="2">
        <v>50053</v>
      </c>
      <c r="T7" s="2">
        <v>54928</v>
      </c>
      <c r="U7" s="2">
        <v>56435</v>
      </c>
      <c r="V7" s="2">
        <v>55466</v>
      </c>
      <c r="W7" s="2">
        <v>56265</v>
      </c>
    </row>
    <row r="8" spans="1:25" s="2" customFormat="1" x14ac:dyDescent="0.25">
      <c r="A8" s="1" t="s">
        <v>21</v>
      </c>
      <c r="F8" s="2">
        <v>2600</v>
      </c>
      <c r="G8" s="2">
        <v>2935</v>
      </c>
      <c r="J8" s="2">
        <v>2999</v>
      </c>
      <c r="K8" s="2">
        <v>3013</v>
      </c>
      <c r="N8" s="1"/>
      <c r="O8" s="2">
        <v>5668</v>
      </c>
      <c r="P8" s="2">
        <v>7209</v>
      </c>
      <c r="Q8" s="2">
        <v>7458</v>
      </c>
      <c r="R8" s="2">
        <v>8757</v>
      </c>
      <c r="S8" s="2">
        <v>9759</v>
      </c>
      <c r="T8" s="2">
        <v>10470</v>
      </c>
      <c r="U8" s="2">
        <v>10609</v>
      </c>
      <c r="V8" s="2">
        <v>10518</v>
      </c>
      <c r="W8" s="2">
        <v>11306</v>
      </c>
    </row>
    <row r="9" spans="1:25" s="2" customFormat="1" x14ac:dyDescent="0.25">
      <c r="A9" s="1"/>
      <c r="N9" s="1"/>
    </row>
    <row r="10" spans="1:25" s="2" customFormat="1" x14ac:dyDescent="0.25">
      <c r="A10" s="1" t="s">
        <v>68</v>
      </c>
      <c r="N10" s="1"/>
      <c r="P10" s="2">
        <v>34611</v>
      </c>
      <c r="Q10" s="2">
        <v>35626</v>
      </c>
      <c r="R10" s="2">
        <v>38606</v>
      </c>
      <c r="S10" s="2">
        <v>43281</v>
      </c>
      <c r="T10" s="2">
        <v>49012</v>
      </c>
      <c r="U10" s="2">
        <v>48605</v>
      </c>
      <c r="V10" s="2">
        <v>49053</v>
      </c>
      <c r="W10" s="2">
        <v>49927</v>
      </c>
      <c r="X10" s="2">
        <v>52530</v>
      </c>
    </row>
    <row r="11" spans="1:25" s="2" customFormat="1" x14ac:dyDescent="0.25">
      <c r="A11" s="1" t="s">
        <v>69</v>
      </c>
      <c r="N11" s="1"/>
      <c r="P11" s="2">
        <v>3710</v>
      </c>
      <c r="Q11" s="2">
        <v>4775</v>
      </c>
      <c r="R11" s="2">
        <v>5280</v>
      </c>
      <c r="S11" s="2">
        <v>5928</v>
      </c>
      <c r="T11" s="2">
        <v>6334</v>
      </c>
      <c r="U11" s="2">
        <v>6760</v>
      </c>
      <c r="V11" s="2">
        <v>6267</v>
      </c>
      <c r="W11" s="2">
        <v>7011</v>
      </c>
      <c r="X11" s="2">
        <v>7720</v>
      </c>
    </row>
    <row r="12" spans="1:25" s="2" customFormat="1" x14ac:dyDescent="0.25">
      <c r="A12" s="1" t="s">
        <v>58</v>
      </c>
      <c r="N12" s="1"/>
      <c r="P12" s="2">
        <v>3777</v>
      </c>
      <c r="Q12" s="2">
        <v>4833</v>
      </c>
      <c r="R12" s="2">
        <v>5403</v>
      </c>
      <c r="S12" s="2">
        <v>5826</v>
      </c>
      <c r="T12" s="2">
        <v>5176</v>
      </c>
      <c r="U12" s="2">
        <v>6108</v>
      </c>
      <c r="V12" s="2">
        <v>5479</v>
      </c>
      <c r="W12" s="2">
        <v>5851</v>
      </c>
      <c r="X12" s="2">
        <v>6240</v>
      </c>
    </row>
    <row r="13" spans="1:25" s="2" customFormat="1" x14ac:dyDescent="0.25">
      <c r="A13" s="1" t="s">
        <v>70</v>
      </c>
      <c r="N13" s="1"/>
      <c r="P13" s="2">
        <v>3737</v>
      </c>
      <c r="Q13" s="2">
        <v>3767</v>
      </c>
      <c r="R13" s="2">
        <v>3602</v>
      </c>
      <c r="S13" s="2">
        <v>3944</v>
      </c>
      <c r="T13" s="2">
        <v>3940</v>
      </c>
      <c r="U13" s="2">
        <v>4253</v>
      </c>
      <c r="V13" s="2">
        <v>3796</v>
      </c>
      <c r="W13" s="2">
        <v>3554</v>
      </c>
      <c r="X13" s="2">
        <v>3080</v>
      </c>
    </row>
    <row r="14" spans="1:25" s="2" customFormat="1" x14ac:dyDescent="0.25">
      <c r="A14" s="1" t="s">
        <v>71</v>
      </c>
      <c r="N14" s="1"/>
      <c r="P14" s="2">
        <v>1455</v>
      </c>
      <c r="Q14" s="2">
        <v>959</v>
      </c>
      <c r="R14" s="2">
        <v>871</v>
      </c>
      <c r="S14" s="2">
        <v>833</v>
      </c>
      <c r="T14" s="2">
        <v>936</v>
      </c>
      <c r="U14" s="2">
        <v>1318</v>
      </c>
      <c r="V14" s="2">
        <v>1389</v>
      </c>
      <c r="W14" s="2">
        <v>1228</v>
      </c>
      <c r="X14" s="2">
        <v>1480</v>
      </c>
    </row>
    <row r="15" spans="1:25" s="2" customFormat="1" x14ac:dyDescent="0.25">
      <c r="A15" s="1"/>
      <c r="L15" s="1"/>
      <c r="M15" s="1"/>
      <c r="N15" s="1"/>
    </row>
    <row r="16" spans="1:25" s="2" customFormat="1" x14ac:dyDescent="0.25">
      <c r="A16" s="4" t="s">
        <v>22</v>
      </c>
      <c r="B16" s="5">
        <f t="shared" ref="B16:J16" si="2">+SUM(B2:B5)</f>
        <v>0</v>
      </c>
      <c r="C16" s="5">
        <f t="shared" si="2"/>
        <v>0</v>
      </c>
      <c r="D16" s="5">
        <f t="shared" si="2"/>
        <v>0</v>
      </c>
      <c r="E16" s="5">
        <f t="shared" si="2"/>
        <v>0</v>
      </c>
      <c r="F16" s="5">
        <f t="shared" si="2"/>
        <v>15126</v>
      </c>
      <c r="G16" s="5">
        <f t="shared" si="2"/>
        <v>16693</v>
      </c>
      <c r="H16" s="5">
        <f t="shared" si="2"/>
        <v>16878</v>
      </c>
      <c r="I16" s="5">
        <f t="shared" si="2"/>
        <v>18874</v>
      </c>
      <c r="J16" s="5">
        <f t="shared" si="2"/>
        <v>17195</v>
      </c>
      <c r="K16" s="5">
        <f>+SUM(K2:K5)</f>
        <v>18122</v>
      </c>
      <c r="L16" s="5">
        <f t="shared" ref="L16:M16" si="3">+SUM(L2:L5)</f>
        <v>17104</v>
      </c>
      <c r="M16" s="5">
        <f t="shared" si="3"/>
        <v>18622</v>
      </c>
      <c r="N16" s="1"/>
      <c r="O16" s="5">
        <f t="shared" ref="O16:X16" si="4">+SUM(O2:O5)</f>
        <v>40536</v>
      </c>
      <c r="P16" s="5">
        <f t="shared" si="4"/>
        <v>47290</v>
      </c>
      <c r="Q16" s="5">
        <f t="shared" si="4"/>
        <v>49960</v>
      </c>
      <c r="R16" s="5">
        <f t="shared" si="4"/>
        <v>53762</v>
      </c>
      <c r="S16" s="5">
        <f t="shared" si="4"/>
        <v>59812</v>
      </c>
      <c r="T16" s="5">
        <f t="shared" si="4"/>
        <v>65398</v>
      </c>
      <c r="U16" s="5">
        <f t="shared" si="4"/>
        <v>67044</v>
      </c>
      <c r="V16" s="5">
        <f t="shared" si="4"/>
        <v>65984</v>
      </c>
      <c r="W16" s="5">
        <f t="shared" si="4"/>
        <v>67841</v>
      </c>
      <c r="X16" s="5">
        <f t="shared" si="4"/>
        <v>71043</v>
      </c>
    </row>
    <row r="17" spans="1:25" s="2" customFormat="1" x14ac:dyDescent="0.25">
      <c r="A17" s="1" t="s">
        <v>31</v>
      </c>
      <c r="F17" s="2">
        <v>13080</v>
      </c>
      <c r="G17" s="2">
        <v>14603</v>
      </c>
      <c r="H17" s="2">
        <v>14830</v>
      </c>
      <c r="I17" s="2">
        <v>16579</v>
      </c>
      <c r="J17" s="2">
        <v>15202</v>
      </c>
      <c r="K17" s="2">
        <v>15992</v>
      </c>
      <c r="L17" s="2">
        <v>14987</v>
      </c>
      <c r="M17" s="2">
        <v>17932</v>
      </c>
      <c r="N17" s="1"/>
      <c r="O17" s="2">
        <v>36044</v>
      </c>
      <c r="P17" s="2">
        <v>41889</v>
      </c>
      <c r="Q17" s="2">
        <v>43589</v>
      </c>
      <c r="R17" s="2">
        <v>46488</v>
      </c>
      <c r="S17" s="2">
        <v>51445</v>
      </c>
      <c r="T17" s="2">
        <v>56744</v>
      </c>
      <c r="U17" s="2">
        <v>57983</v>
      </c>
      <c r="V17" s="2">
        <v>57697</v>
      </c>
      <c r="W17" s="2">
        <v>59092</v>
      </c>
      <c r="X17" s="2">
        <f t="shared" ref="X17" si="5">+SUM(J17:M17)</f>
        <v>64113</v>
      </c>
    </row>
    <row r="18" spans="1:25" s="2" customFormat="1" x14ac:dyDescent="0.25">
      <c r="A18" s="1" t="s">
        <v>32</v>
      </c>
      <c r="B18" s="2">
        <f t="shared" ref="B18:J18" si="6">+B16-B17</f>
        <v>0</v>
      </c>
      <c r="C18" s="2">
        <f t="shared" si="6"/>
        <v>0</v>
      </c>
      <c r="D18" s="2">
        <f t="shared" si="6"/>
        <v>0</v>
      </c>
      <c r="E18" s="2">
        <f t="shared" si="6"/>
        <v>0</v>
      </c>
      <c r="F18" s="2">
        <f t="shared" si="6"/>
        <v>2046</v>
      </c>
      <c r="G18" s="2">
        <f t="shared" si="6"/>
        <v>2090</v>
      </c>
      <c r="H18" s="2">
        <f t="shared" si="6"/>
        <v>2048</v>
      </c>
      <c r="I18" s="2">
        <f t="shared" si="6"/>
        <v>2295</v>
      </c>
      <c r="J18" s="2">
        <f t="shared" si="6"/>
        <v>1993</v>
      </c>
      <c r="K18" s="2">
        <f>+K16-K17</f>
        <v>2130</v>
      </c>
      <c r="L18" s="2">
        <f t="shared" ref="L18:M18" si="7">+L16-L17</f>
        <v>2117</v>
      </c>
      <c r="M18" s="2">
        <f t="shared" si="7"/>
        <v>690</v>
      </c>
      <c r="N18" s="1"/>
      <c r="O18" s="2">
        <f t="shared" ref="O18" si="8">+O16-O17</f>
        <v>4492</v>
      </c>
      <c r="P18" s="2">
        <f t="shared" ref="P18" si="9">+P16-P17</f>
        <v>5401</v>
      </c>
      <c r="Q18" s="2">
        <f t="shared" ref="Q18" si="10">+Q16-Q17</f>
        <v>6371</v>
      </c>
      <c r="R18" s="2">
        <f t="shared" ref="R18" si="11">+R16-R17</f>
        <v>7274</v>
      </c>
      <c r="S18" s="2">
        <f t="shared" ref="S18" si="12">+S16-S17</f>
        <v>8367</v>
      </c>
      <c r="T18" s="2">
        <f t="shared" ref="T18" si="13">+T16-T17</f>
        <v>8654</v>
      </c>
      <c r="U18" s="2">
        <f t="shared" ref="U18" si="14">+U16-U17</f>
        <v>9061</v>
      </c>
      <c r="V18" s="2">
        <f t="shared" ref="V18" si="15">+V16-V17</f>
        <v>8287</v>
      </c>
      <c r="W18" s="2">
        <f t="shared" ref="W18" si="16">+W16-W17</f>
        <v>8749</v>
      </c>
      <c r="X18" s="2">
        <f t="shared" ref="X18" si="17">+X16-X17</f>
        <v>6930</v>
      </c>
    </row>
    <row r="19" spans="1:25" s="2" customFormat="1" x14ac:dyDescent="0.25">
      <c r="A19" s="1" t="s">
        <v>33</v>
      </c>
      <c r="B19" s="1"/>
      <c r="C19" s="1"/>
      <c r="D19" s="1"/>
      <c r="E19" s="1"/>
      <c r="F19" s="1">
        <v>36</v>
      </c>
      <c r="G19" s="1">
        <v>45</v>
      </c>
      <c r="H19" s="1">
        <v>-6</v>
      </c>
      <c r="I19" s="1">
        <v>-2</v>
      </c>
      <c r="J19" s="1">
        <v>-9</v>
      </c>
      <c r="K19" s="1">
        <v>18</v>
      </c>
      <c r="L19" s="1">
        <v>23</v>
      </c>
      <c r="M19" s="1">
        <v>6</v>
      </c>
      <c r="N19" s="1"/>
      <c r="O19" s="2">
        <v>220</v>
      </c>
      <c r="P19" s="2">
        <v>487</v>
      </c>
      <c r="Q19" s="2">
        <v>373</v>
      </c>
      <c r="R19" s="2">
        <v>60</v>
      </c>
      <c r="S19" s="2">
        <v>178</v>
      </c>
      <c r="T19" s="2">
        <v>-10</v>
      </c>
      <c r="U19" s="2">
        <v>62</v>
      </c>
      <c r="V19" s="2">
        <v>61</v>
      </c>
      <c r="W19" s="2">
        <v>28</v>
      </c>
      <c r="X19" s="2">
        <f t="shared" ref="X19" si="18">+SUM(J19:M19)</f>
        <v>38</v>
      </c>
    </row>
    <row r="20" spans="1:25" s="2" customFormat="1" x14ac:dyDescent="0.25">
      <c r="A20" s="4" t="s">
        <v>34</v>
      </c>
      <c r="B20" s="5">
        <f t="shared" ref="B20:J20" si="19">+B18+B19</f>
        <v>0</v>
      </c>
      <c r="C20" s="5">
        <f t="shared" si="19"/>
        <v>0</v>
      </c>
      <c r="D20" s="5">
        <f t="shared" si="19"/>
        <v>0</v>
      </c>
      <c r="E20" s="5">
        <f t="shared" si="19"/>
        <v>0</v>
      </c>
      <c r="F20" s="5">
        <f t="shared" si="19"/>
        <v>2082</v>
      </c>
      <c r="G20" s="5">
        <f t="shared" si="19"/>
        <v>2135</v>
      </c>
      <c r="H20" s="5">
        <f t="shared" si="19"/>
        <v>2042</v>
      </c>
      <c r="I20" s="5">
        <f t="shared" si="19"/>
        <v>2293</v>
      </c>
      <c r="J20" s="5">
        <f t="shared" si="19"/>
        <v>1984</v>
      </c>
      <c r="K20" s="5">
        <f>+K18+K19</f>
        <v>2148</v>
      </c>
      <c r="L20" s="5">
        <f t="shared" ref="L20:M20" si="20">+L18+L19</f>
        <v>2140</v>
      </c>
      <c r="M20" s="5">
        <f t="shared" si="20"/>
        <v>696</v>
      </c>
      <c r="N20" s="1"/>
      <c r="O20" s="5">
        <f t="shared" ref="O20" si="21">+O18+O19</f>
        <v>4712</v>
      </c>
      <c r="P20" s="5">
        <f t="shared" ref="P20" si="22">+P18+P19</f>
        <v>5888</v>
      </c>
      <c r="Q20" s="5">
        <f t="shared" ref="Q20" si="23">+Q18+Q19</f>
        <v>6744</v>
      </c>
      <c r="R20" s="5">
        <f t="shared" ref="R20" si="24">+R18+R19</f>
        <v>7334</v>
      </c>
      <c r="S20" s="5">
        <f t="shared" ref="S20" si="25">+S18+S19</f>
        <v>8545</v>
      </c>
      <c r="T20" s="5">
        <f t="shared" ref="T20" si="26">+T18+T19</f>
        <v>8644</v>
      </c>
      <c r="U20" s="5">
        <f t="shared" ref="U20" si="27">+U18+U19</f>
        <v>9123</v>
      </c>
      <c r="V20" s="5">
        <f t="shared" ref="V20" si="28">+V18+V19</f>
        <v>8348</v>
      </c>
      <c r="W20" s="5">
        <f t="shared" ref="W20" si="29">+W18+W19</f>
        <v>8777</v>
      </c>
      <c r="X20" s="5">
        <f t="shared" ref="X20" si="30">+X18+X19</f>
        <v>6968</v>
      </c>
    </row>
    <row r="21" spans="1:25" s="2" customFormat="1" x14ac:dyDescent="0.25">
      <c r="A21" s="1" t="s">
        <v>35</v>
      </c>
      <c r="B21" s="1"/>
      <c r="C21" s="1"/>
      <c r="D21" s="1"/>
      <c r="E21" s="1"/>
      <c r="F21" s="1">
        <v>-255</v>
      </c>
      <c r="G21" s="1">
        <v>-223</v>
      </c>
      <c r="H21" s="1">
        <v>-237</v>
      </c>
      <c r="I21" s="1">
        <v>-254</v>
      </c>
      <c r="J21" s="1">
        <v>-202</v>
      </c>
      <c r="K21" s="1">
        <v>-261</v>
      </c>
      <c r="L21" s="1">
        <v>-256</v>
      </c>
      <c r="M21" s="1">
        <v>-264</v>
      </c>
      <c r="N21" s="1"/>
      <c r="O21" s="2">
        <v>-443</v>
      </c>
      <c r="P21" s="2">
        <v>-663</v>
      </c>
      <c r="Q21" s="2">
        <v>-651</v>
      </c>
      <c r="R21" s="2">
        <v>-668</v>
      </c>
      <c r="S21" s="2">
        <v>-653</v>
      </c>
      <c r="T21" s="2">
        <v>-591</v>
      </c>
      <c r="U21" s="2">
        <v>-569</v>
      </c>
      <c r="V21" s="2">
        <v>-623</v>
      </c>
      <c r="W21" s="2">
        <v>-916</v>
      </c>
      <c r="X21" s="2">
        <f t="shared" ref="X21:X23" si="31">+SUM(J21:M21)</f>
        <v>-983</v>
      </c>
    </row>
    <row r="22" spans="1:25" s="2" customFormat="1" x14ac:dyDescent="0.25">
      <c r="A22" s="1" t="s">
        <v>36</v>
      </c>
      <c r="B22" s="1"/>
      <c r="C22" s="1"/>
      <c r="D22" s="1"/>
      <c r="E22" s="1"/>
      <c r="F22" s="1">
        <v>16</v>
      </c>
      <c r="G22" s="1">
        <v>111</v>
      </c>
      <c r="H22" s="1">
        <v>111</v>
      </c>
      <c r="I22" s="1">
        <v>111</v>
      </c>
      <c r="J22" s="1">
        <v>110</v>
      </c>
      <c r="K22" s="1">
        <v>15</v>
      </c>
      <c r="L22" s="1">
        <v>16</v>
      </c>
      <c r="M22" s="1">
        <v>15</v>
      </c>
      <c r="N22" s="1"/>
      <c r="S22" s="2">
        <v>-577</v>
      </c>
      <c r="T22" s="2">
        <v>219</v>
      </c>
      <c r="U22" s="2">
        <v>-1292</v>
      </c>
      <c r="V22" s="2">
        <v>-971</v>
      </c>
      <c r="W22" s="2">
        <v>443</v>
      </c>
      <c r="X22" s="2">
        <f t="shared" si="31"/>
        <v>156</v>
      </c>
    </row>
    <row r="23" spans="1:25" s="2" customFormat="1" x14ac:dyDescent="0.25">
      <c r="A23" s="1" t="s">
        <v>37</v>
      </c>
      <c r="B23" s="1"/>
      <c r="C23" s="1"/>
      <c r="D23" s="1"/>
      <c r="E23" s="1"/>
      <c r="F23" s="1">
        <v>45</v>
      </c>
      <c r="G23" s="1">
        <v>-17</v>
      </c>
      <c r="H23" s="1">
        <v>37</v>
      </c>
      <c r="I23" s="1">
        <v>-5</v>
      </c>
      <c r="J23" s="1">
        <v>49</v>
      </c>
      <c r="K23" s="1">
        <v>46</v>
      </c>
      <c r="L23" s="1">
        <v>18</v>
      </c>
      <c r="M23" s="1">
        <v>72</v>
      </c>
      <c r="N23" s="1"/>
      <c r="O23" s="2">
        <v>30</v>
      </c>
      <c r="P23" s="2">
        <v>-471</v>
      </c>
      <c r="Q23" s="2">
        <v>-847</v>
      </c>
      <c r="R23" s="2">
        <v>-828</v>
      </c>
      <c r="S23" s="2">
        <v>-74</v>
      </c>
      <c r="T23" s="2">
        <v>-37</v>
      </c>
      <c r="U23" s="2">
        <v>288</v>
      </c>
      <c r="V23" s="2">
        <v>-74</v>
      </c>
      <c r="W23" s="2">
        <v>64</v>
      </c>
      <c r="X23" s="2">
        <f t="shared" si="31"/>
        <v>185</v>
      </c>
    </row>
    <row r="24" spans="1:25" s="2" customFormat="1" x14ac:dyDescent="0.25">
      <c r="A24" s="1" t="s">
        <v>38</v>
      </c>
      <c r="B24" s="2">
        <f t="shared" ref="B24:J24" si="32">+B20+B21+B22+B23</f>
        <v>0</v>
      </c>
      <c r="C24" s="2">
        <f t="shared" si="32"/>
        <v>0</v>
      </c>
      <c r="D24" s="2">
        <f t="shared" si="32"/>
        <v>0</v>
      </c>
      <c r="E24" s="2">
        <f t="shared" si="32"/>
        <v>0</v>
      </c>
      <c r="F24" s="2">
        <f t="shared" si="32"/>
        <v>1888</v>
      </c>
      <c r="G24" s="2">
        <f t="shared" si="32"/>
        <v>2006</v>
      </c>
      <c r="H24" s="2">
        <f t="shared" si="32"/>
        <v>1953</v>
      </c>
      <c r="I24" s="2">
        <f t="shared" si="32"/>
        <v>2145</v>
      </c>
      <c r="J24" s="2">
        <f t="shared" si="32"/>
        <v>1941</v>
      </c>
      <c r="K24" s="2">
        <f>+K20+K21+K22+K23</f>
        <v>1948</v>
      </c>
      <c r="L24" s="2">
        <f t="shared" ref="L24:M24" si="33">+L20+L21+L22+L23</f>
        <v>1918</v>
      </c>
      <c r="M24" s="2">
        <f t="shared" si="33"/>
        <v>519</v>
      </c>
      <c r="N24" s="1"/>
      <c r="O24" s="2">
        <f t="shared" ref="O24" si="34">+O20+O21+O22+O23</f>
        <v>4299</v>
      </c>
      <c r="P24" s="2">
        <f t="shared" ref="P24" si="35">+P20+P21+P22+P23</f>
        <v>4754</v>
      </c>
      <c r="Q24" s="2">
        <f t="shared" ref="Q24" si="36">+Q20+Q21+Q22+Q23</f>
        <v>5246</v>
      </c>
      <c r="R24" s="2">
        <f t="shared" ref="R24" si="37">+R20+R21+R22+R23</f>
        <v>5838</v>
      </c>
      <c r="S24" s="2">
        <f t="shared" ref="S24" si="38">+S20+S21+S22+S23</f>
        <v>7241</v>
      </c>
      <c r="T24" s="2">
        <f t="shared" ref="T24" si="39">+T20+T21+T22+T23</f>
        <v>8235</v>
      </c>
      <c r="U24" s="2">
        <f t="shared" ref="U24" si="40">+U20+U21+U22+U23</f>
        <v>7550</v>
      </c>
      <c r="V24" s="2">
        <f t="shared" ref="V24" si="41">+V20+V21+V22+V23</f>
        <v>6680</v>
      </c>
      <c r="W24" s="2">
        <f t="shared" ref="W24" si="42">+W20+W21+W22+W23</f>
        <v>8368</v>
      </c>
      <c r="X24" s="2">
        <f t="shared" ref="X24" si="43">+X20+X21+X22+X23</f>
        <v>6326</v>
      </c>
    </row>
    <row r="25" spans="1:25" s="2" customFormat="1" x14ac:dyDescent="0.25">
      <c r="A25" s="1" t="s">
        <v>39</v>
      </c>
      <c r="B25" s="1"/>
      <c r="C25" s="1"/>
      <c r="D25" s="1"/>
      <c r="E25" s="1"/>
      <c r="F25" s="1">
        <v>305</v>
      </c>
      <c r="G25" s="1">
        <v>325</v>
      </c>
      <c r="H25" s="1">
        <v>269</v>
      </c>
      <c r="I25" s="1">
        <v>279</v>
      </c>
      <c r="J25" s="1">
        <v>290</v>
      </c>
      <c r="K25" s="1">
        <v>307</v>
      </c>
      <c r="L25" s="1">
        <v>295</v>
      </c>
      <c r="M25" s="1">
        <v>-8</v>
      </c>
      <c r="N25" s="1"/>
      <c r="O25" s="2">
        <v>1173</v>
      </c>
      <c r="P25" s="2">
        <v>1093</v>
      </c>
      <c r="Q25" s="2">
        <v>3356</v>
      </c>
      <c r="R25" s="2">
        <v>792</v>
      </c>
      <c r="S25" s="2">
        <v>1011</v>
      </c>
      <c r="T25" s="2">
        <v>1347</v>
      </c>
      <c r="U25" s="2">
        <v>1235</v>
      </c>
      <c r="V25" s="2">
        <v>948</v>
      </c>
      <c r="W25" s="2">
        <v>1178</v>
      </c>
      <c r="X25" s="2">
        <f t="shared" ref="X25" si="44">+SUM(J25:M25)</f>
        <v>884</v>
      </c>
    </row>
    <row r="26" spans="1:25" s="2" customFormat="1" x14ac:dyDescent="0.25">
      <c r="A26" s="4" t="s">
        <v>40</v>
      </c>
      <c r="B26" s="5">
        <f t="shared" ref="B26:J26" si="45">+B24-B25</f>
        <v>0</v>
      </c>
      <c r="C26" s="5">
        <f t="shared" si="45"/>
        <v>0</v>
      </c>
      <c r="D26" s="5">
        <f t="shared" si="45"/>
        <v>0</v>
      </c>
      <c r="E26" s="5">
        <f t="shared" si="45"/>
        <v>0</v>
      </c>
      <c r="F26" s="5">
        <f t="shared" si="45"/>
        <v>1583</v>
      </c>
      <c r="G26" s="5">
        <f t="shared" si="45"/>
        <v>1681</v>
      </c>
      <c r="H26" s="5">
        <f t="shared" si="45"/>
        <v>1684</v>
      </c>
      <c r="I26" s="5">
        <f t="shared" si="45"/>
        <v>1866</v>
      </c>
      <c r="J26" s="5">
        <f t="shared" si="45"/>
        <v>1651</v>
      </c>
      <c r="K26" s="5">
        <f>+K24-K25</f>
        <v>1641</v>
      </c>
      <c r="L26" s="5">
        <f t="shared" ref="L26:M26" si="46">+L24-L25</f>
        <v>1623</v>
      </c>
      <c r="M26" s="5">
        <f t="shared" si="46"/>
        <v>527</v>
      </c>
      <c r="N26" s="1"/>
      <c r="O26" s="5">
        <f t="shared" ref="O26" si="47">+O24-O25</f>
        <v>3126</v>
      </c>
      <c r="P26" s="5">
        <f t="shared" ref="P26" si="48">+P24-P25</f>
        <v>3661</v>
      </c>
      <c r="Q26" s="5">
        <f t="shared" ref="Q26" si="49">+Q24-Q25</f>
        <v>1890</v>
      </c>
      <c r="R26" s="5">
        <f t="shared" ref="R26" si="50">+R24-R25</f>
        <v>5046</v>
      </c>
      <c r="S26" s="5">
        <f t="shared" ref="S26" si="51">+S24-S25</f>
        <v>6230</v>
      </c>
      <c r="T26" s="5">
        <f t="shared" ref="T26" si="52">+T24-T25</f>
        <v>6888</v>
      </c>
      <c r="U26" s="5">
        <f t="shared" ref="U26" si="53">+U24-U25</f>
        <v>6315</v>
      </c>
      <c r="V26" s="5">
        <f t="shared" ref="V26" si="54">+V24-V25</f>
        <v>5732</v>
      </c>
      <c r="W26" s="5">
        <f t="shared" ref="W26" si="55">+W24-W25</f>
        <v>7190</v>
      </c>
      <c r="X26" s="5">
        <f>+X24-X25</f>
        <v>5442</v>
      </c>
    </row>
    <row r="27" spans="1:25" s="2" customFormat="1" x14ac:dyDescent="0.25">
      <c r="A27" s="1" t="s">
        <v>41</v>
      </c>
      <c r="B27" s="1"/>
      <c r="C27" s="1"/>
      <c r="D27" s="1"/>
      <c r="E27" s="1"/>
      <c r="F27" s="1"/>
      <c r="G27" s="1"/>
      <c r="H27" s="1">
        <v>250.2</v>
      </c>
      <c r="I27" s="1">
        <v>246.1</v>
      </c>
      <c r="J27" s="1"/>
      <c r="K27" s="1"/>
      <c r="L27" s="1">
        <v>238.6</v>
      </c>
      <c r="M27" s="1">
        <v>237</v>
      </c>
      <c r="N27" s="1"/>
      <c r="O27" s="2">
        <v>314.7</v>
      </c>
      <c r="P27" s="2">
        <v>303</v>
      </c>
      <c r="Q27" s="2">
        <v>290</v>
      </c>
      <c r="R27" s="2">
        <v>286.8</v>
      </c>
      <c r="S27" s="2">
        <v>283.8</v>
      </c>
      <c r="T27" s="2">
        <v>281.2</v>
      </c>
      <c r="U27" s="2">
        <v>277.39999999999998</v>
      </c>
      <c r="V27" s="2">
        <v>254</v>
      </c>
      <c r="W27" s="2">
        <v>242</v>
      </c>
      <c r="X27" s="2">
        <v>239.2</v>
      </c>
    </row>
    <row r="28" spans="1:25" s="2" customFormat="1" x14ac:dyDescent="0.25">
      <c r="A28" s="1" t="s">
        <v>42</v>
      </c>
      <c r="B28" s="1"/>
      <c r="C28" s="1"/>
      <c r="D28" s="1"/>
      <c r="E28" s="1"/>
      <c r="F28" s="1"/>
      <c r="G28" s="1"/>
      <c r="H28" s="11">
        <f>+H26/H27</f>
        <v>6.7306155075939254</v>
      </c>
      <c r="I28" s="11">
        <f t="shared" ref="I28" si="56">+I26/I27</f>
        <v>7.5822836245428693</v>
      </c>
      <c r="J28" s="1"/>
      <c r="K28" s="1"/>
      <c r="L28" s="11">
        <f>+L26/L27</f>
        <v>6.8021793797150041</v>
      </c>
      <c r="M28" s="11">
        <f t="shared" ref="M28" si="57">+M26/M27</f>
        <v>2.2236286919831225</v>
      </c>
      <c r="N28" s="1"/>
      <c r="O28" s="8">
        <f t="shared" ref="O28:T28" si="58">+O26/O27</f>
        <v>9.933269780743565</v>
      </c>
      <c r="P28" s="8">
        <f t="shared" si="58"/>
        <v>12.082508250825082</v>
      </c>
      <c r="Q28" s="8">
        <f t="shared" si="58"/>
        <v>6.5172413793103452</v>
      </c>
      <c r="R28" s="8">
        <f t="shared" si="58"/>
        <v>17.594142259414227</v>
      </c>
      <c r="S28" s="8">
        <f t="shared" si="58"/>
        <v>21.952078928823113</v>
      </c>
      <c r="T28" s="8">
        <f t="shared" si="58"/>
        <v>24.495021337126602</v>
      </c>
      <c r="U28" s="8">
        <f>+U26/U27</f>
        <v>22.764960346070659</v>
      </c>
      <c r="V28" s="8">
        <f t="shared" ref="V28:Y28" si="59">+V26/V27</f>
        <v>22.566929133858267</v>
      </c>
      <c r="W28" s="8">
        <f t="shared" si="59"/>
        <v>29.710743801652892</v>
      </c>
      <c r="X28" s="8">
        <f t="shared" si="59"/>
        <v>22.750836120401338</v>
      </c>
      <c r="Y28" s="8" t="e">
        <f t="shared" si="59"/>
        <v>#DIV/0!</v>
      </c>
    </row>
    <row r="30" spans="1:25" x14ac:dyDescent="0.25">
      <c r="A30" s="1" t="s">
        <v>43</v>
      </c>
      <c r="J30" s="7">
        <f t="shared" ref="J30:K33" si="60">+J2/F2-1</f>
        <v>9.1880682724517548E-2</v>
      </c>
      <c r="K30" s="7">
        <f t="shared" si="60"/>
        <v>5.8472727272727232E-2</v>
      </c>
      <c r="L30" s="7">
        <f t="shared" ref="L30:L33" si="61">+L2/H2-1</f>
        <v>-3.424147684978418E-2</v>
      </c>
      <c r="M30" s="7">
        <f t="shared" ref="M30:M33" si="62">+M2/I2-1</f>
        <v>5.2016287928543292E-2</v>
      </c>
      <c r="P30" s="7">
        <f t="shared" ref="P30:P33" si="63">+P2/O2-1</f>
        <v>0.11066152858060363</v>
      </c>
      <c r="Q30" s="7">
        <f t="shared" ref="Q30:Q33" si="64">+Q2/P2-1</f>
        <v>0.12241947608859083</v>
      </c>
      <c r="R30" s="7">
        <f t="shared" ref="R30:R33" si="65">+R2/Q2-1</f>
        <v>9.4384337970118581E-2</v>
      </c>
      <c r="S30" s="7">
        <f t="shared" ref="S30:S33" si="66">+S2/R2-1</f>
        <v>0.11538461538461542</v>
      </c>
      <c r="T30" s="7">
        <f t="shared" ref="T30" si="67">+T2/S2-1</f>
        <v>0.10859747604777792</v>
      </c>
      <c r="U30" s="7">
        <f t="shared" ref="U30:V30" si="68">+U2/T2-1</f>
        <v>1.83507195614101E-2</v>
      </c>
      <c r="V30" s="7">
        <f t="shared" si="68"/>
        <v>8.9352474951398531E-3</v>
      </c>
      <c r="W30" s="7">
        <f>+W2/V2-1</f>
        <v>1.8045725719791017E-2</v>
      </c>
      <c r="X30" s="7">
        <f t="shared" ref="X30:X33" si="69">+X2/W2-1</f>
        <v>4.1639368129868348E-2</v>
      </c>
    </row>
    <row r="31" spans="1:25" x14ac:dyDescent="0.25">
      <c r="A31" s="1" t="s">
        <v>44</v>
      </c>
      <c r="J31" s="7">
        <f t="shared" si="60"/>
        <v>0.25335008375209389</v>
      </c>
      <c r="K31" s="7">
        <f t="shared" si="60"/>
        <v>0.12595281306715056</v>
      </c>
      <c r="L31" s="7">
        <f t="shared" si="61"/>
        <v>8.0299421571963236E-2</v>
      </c>
      <c r="M31" s="7">
        <f t="shared" si="62"/>
        <v>7.600126143172492E-2</v>
      </c>
      <c r="P31" s="7">
        <f t="shared" si="63"/>
        <v>2.8064992614476036E-3</v>
      </c>
      <c r="Q31" s="7">
        <f t="shared" si="64"/>
        <v>7.2617469435852122E-2</v>
      </c>
      <c r="R31" s="7">
        <f t="shared" si="65"/>
        <v>0.16204339467179341</v>
      </c>
      <c r="S31" s="7">
        <f t="shared" si="66"/>
        <v>0.19723469628929324</v>
      </c>
      <c r="T31" s="7">
        <f t="shared" ref="T31" si="70">+T3/S3-1</f>
        <v>0.11114401342414371</v>
      </c>
      <c r="U31" s="7">
        <f t="shared" ref="U31" si="71">+U3/T3-1</f>
        <v>3.8731455982943919E-2</v>
      </c>
      <c r="V31" s="7">
        <f>+V3/U3-1</f>
        <v>-3.2155990763704789E-2</v>
      </c>
      <c r="W31" s="7">
        <f>+W3/V3-1</f>
        <v>1.820270389679246E-2</v>
      </c>
      <c r="X31" s="7">
        <f t="shared" si="69"/>
        <v>0.10058144580404416</v>
      </c>
    </row>
    <row r="32" spans="1:25" x14ac:dyDescent="0.25">
      <c r="A32" s="1" t="s">
        <v>45</v>
      </c>
      <c r="J32" s="7">
        <f t="shared" si="60"/>
        <v>0.16467236467236468</v>
      </c>
      <c r="K32" s="7">
        <f t="shared" si="60"/>
        <v>0.16705157813702853</v>
      </c>
      <c r="L32" s="7">
        <f t="shared" si="61"/>
        <v>5.9694248968696906E-2</v>
      </c>
      <c r="M32" s="7">
        <f t="shared" si="62"/>
        <v>-9.5521120781150493E-2</v>
      </c>
      <c r="P32" s="7">
        <f t="shared" si="63"/>
        <v>0.49543504564954355</v>
      </c>
      <c r="Q32" s="7">
        <f t="shared" si="64"/>
        <v>5.0018389113644091E-3</v>
      </c>
      <c r="R32" s="7">
        <f t="shared" si="65"/>
        <v>4.296274610261297E-2</v>
      </c>
      <c r="S32" s="7">
        <f t="shared" si="66"/>
        <v>6.1614035087719232E-2</v>
      </c>
      <c r="T32" s="7">
        <f t="shared" ref="T32" si="72">+T4/S4-1</f>
        <v>5.7310946589106182E-2</v>
      </c>
      <c r="U32" s="7">
        <f t="shared" ref="U32" si="73">+U4/T4-1</f>
        <v>4.9640512660206415E-2</v>
      </c>
      <c r="V32" s="7">
        <f>+V4/U4-1</f>
        <v>-3.8179760557507936E-2</v>
      </c>
      <c r="W32" s="7">
        <f>+W4/V4-1</f>
        <v>5.6353728015854365E-3</v>
      </c>
      <c r="X32" s="7">
        <f t="shared" si="69"/>
        <v>6.311965022476751E-2</v>
      </c>
    </row>
    <row r="33" spans="1:24" x14ac:dyDescent="0.25">
      <c r="A33" s="1" t="s">
        <v>46</v>
      </c>
      <c r="J33" s="7">
        <f t="shared" si="60"/>
        <v>0.104765123352484</v>
      </c>
      <c r="K33" s="7">
        <f t="shared" si="60"/>
        <v>9.1598231206568848E-3</v>
      </c>
      <c r="L33" s="7">
        <f t="shared" si="61"/>
        <v>-8.384392131570495E-3</v>
      </c>
      <c r="M33" s="7">
        <f t="shared" si="62"/>
        <v>-0.12992009470257471</v>
      </c>
      <c r="P33" s="7">
        <f t="shared" si="63"/>
        <v>5.5793520043931899E-2</v>
      </c>
      <c r="Q33" s="7">
        <f t="shared" si="64"/>
        <v>-8.3220638718406459E-4</v>
      </c>
      <c r="R33" s="7">
        <f t="shared" si="65"/>
        <v>2.1134825611660579E-2</v>
      </c>
      <c r="S33" s="7">
        <f t="shared" si="66"/>
        <v>0.10725938009787939</v>
      </c>
      <c r="T33" s="7">
        <f t="shared" ref="T33" si="74">+T5/S5-1</f>
        <v>9.3922651933701751E-2</v>
      </c>
      <c r="U33" s="7">
        <f t="shared" ref="U33" si="75">+U5/T5-1</f>
        <v>-5.5555555555555358E-3</v>
      </c>
      <c r="V33" s="7">
        <f>+V5/U5-1</f>
        <v>-2.3869984763839502E-2</v>
      </c>
      <c r="W33" s="7">
        <f>+W5/V5-1</f>
        <v>9.3045438779049583E-2</v>
      </c>
      <c r="X33" s="7">
        <f t="shared" si="69"/>
        <v>-9.9960333201111196E-3</v>
      </c>
    </row>
    <row r="34" spans="1:24" x14ac:dyDescent="0.25">
      <c r="A34" s="1" t="s">
        <v>72</v>
      </c>
      <c r="P34" s="7" t="e">
        <f t="shared" ref="P34:P37" si="76">+P10/O10-1</f>
        <v>#DIV/0!</v>
      </c>
      <c r="Q34" s="7">
        <f t="shared" ref="Q34:Q37" si="77">+Q10/P10-1</f>
        <v>2.9325936840888689E-2</v>
      </c>
      <c r="R34" s="7">
        <f t="shared" ref="R34:R37" si="78">+R10/Q10-1</f>
        <v>8.364677482737326E-2</v>
      </c>
      <c r="S34" s="7">
        <f t="shared" ref="S34:S37" si="79">+S10/R10-1</f>
        <v>0.12109516655442154</v>
      </c>
      <c r="T34" s="7">
        <f t="shared" ref="T34" si="80">+T10/S10-1</f>
        <v>0.13241376123472204</v>
      </c>
      <c r="U34" s="7">
        <f t="shared" ref="U34" si="81">+U10/T10-1</f>
        <v>-8.3040887945808883E-3</v>
      </c>
      <c r="V34" s="7">
        <f t="shared" ref="V34" si="82">+V10/U10-1</f>
        <v>9.2171587285259093E-3</v>
      </c>
      <c r="W34" s="7">
        <f>+W10/V10-1</f>
        <v>1.7817462744378565E-2</v>
      </c>
      <c r="X34" s="7">
        <f t="shared" ref="X34:X37" si="83">+X10/W10-1</f>
        <v>5.2136118733350667E-2</v>
      </c>
    </row>
    <row r="35" spans="1:24" x14ac:dyDescent="0.25">
      <c r="A35" s="1" t="s">
        <v>73</v>
      </c>
      <c r="P35" s="7" t="e">
        <f t="shared" si="76"/>
        <v>#DIV/0!</v>
      </c>
      <c r="Q35" s="7">
        <f t="shared" si="77"/>
        <v>0.28706199460916437</v>
      </c>
      <c r="R35" s="7">
        <f t="shared" si="78"/>
        <v>0.10575916230366489</v>
      </c>
      <c r="S35" s="7">
        <f t="shared" si="79"/>
        <v>0.1227272727272728</v>
      </c>
      <c r="T35" s="7">
        <f t="shared" ref="T35" si="84">+T11/S11-1</f>
        <v>6.8488529014844701E-2</v>
      </c>
      <c r="U35" s="7">
        <f t="shared" ref="U35" si="85">+U11/T11-1</f>
        <v>6.7256078307546652E-2</v>
      </c>
      <c r="V35" s="7">
        <f t="shared" ref="V35:W35" si="86">+V11/U11-1</f>
        <v>-7.2928994082840259E-2</v>
      </c>
      <c r="W35" s="7">
        <f t="shared" si="86"/>
        <v>0.11871708951651505</v>
      </c>
      <c r="X35" s="7">
        <f t="shared" si="83"/>
        <v>0.10112680074169167</v>
      </c>
    </row>
    <row r="36" spans="1:24" x14ac:dyDescent="0.25">
      <c r="A36" s="1" t="s">
        <v>74</v>
      </c>
      <c r="P36" s="7" t="e">
        <f t="shared" si="76"/>
        <v>#DIV/0!</v>
      </c>
      <c r="Q36" s="7">
        <f t="shared" si="77"/>
        <v>0.2795869737887211</v>
      </c>
      <c r="R36" s="7">
        <f t="shared" si="78"/>
        <v>0.11793916821849781</v>
      </c>
      <c r="S36" s="7">
        <f t="shared" si="79"/>
        <v>7.8289838978345294E-2</v>
      </c>
      <c r="T36" s="7">
        <f t="shared" ref="T36" si="87">+T12/S12-1</f>
        <v>-0.11156882938551327</v>
      </c>
      <c r="U36" s="7">
        <f t="shared" ref="U36" si="88">+U12/T12-1</f>
        <v>0.18006182380216385</v>
      </c>
      <c r="V36" s="7">
        <f t="shared" ref="V36:W36" si="89">+V12/U12-1</f>
        <v>-0.10297969875573021</v>
      </c>
      <c r="W36" s="7">
        <f t="shared" si="89"/>
        <v>6.7895601387114368E-2</v>
      </c>
      <c r="X36" s="7">
        <f t="shared" si="83"/>
        <v>6.6484361647581647E-2</v>
      </c>
    </row>
    <row r="37" spans="1:24" x14ac:dyDescent="0.25">
      <c r="A37" s="1" t="s">
        <v>75</v>
      </c>
      <c r="P37" s="7" t="e">
        <f t="shared" si="76"/>
        <v>#DIV/0!</v>
      </c>
      <c r="Q37" s="7">
        <f t="shared" si="77"/>
        <v>8.027829810008047E-3</v>
      </c>
      <c r="R37" s="7">
        <f t="shared" si="78"/>
        <v>-4.3801433501460041E-2</v>
      </c>
      <c r="S37" s="7">
        <f t="shared" si="79"/>
        <v>9.4947251526929399E-2</v>
      </c>
      <c r="T37" s="7">
        <f t="shared" ref="T37" si="90">+T13/S13-1</f>
        <v>-1.0141987829614951E-3</v>
      </c>
      <c r="U37" s="7">
        <f t="shared" ref="U37" si="91">+U13/T13-1</f>
        <v>7.94416243654823E-2</v>
      </c>
      <c r="V37" s="7">
        <f t="shared" ref="V37:W37" si="92">+V13/U13-1</f>
        <v>-0.10745356219139435</v>
      </c>
      <c r="W37" s="7">
        <f t="shared" si="92"/>
        <v>-6.3751317175974709E-2</v>
      </c>
      <c r="X37" s="7">
        <f t="shared" si="83"/>
        <v>-0.13337084974676416</v>
      </c>
    </row>
    <row r="38" spans="1:24" x14ac:dyDescent="0.25">
      <c r="A38" s="4" t="s">
        <v>86</v>
      </c>
      <c r="B38" s="4"/>
      <c r="C38" s="4"/>
      <c r="D38" s="4"/>
      <c r="E38" s="4"/>
      <c r="F38" s="4"/>
      <c r="G38" s="4"/>
      <c r="H38" s="4"/>
      <c r="I38" s="4"/>
      <c r="J38" s="4"/>
      <c r="K38" s="4"/>
      <c r="L38" s="4"/>
      <c r="M38" s="4"/>
      <c r="N38" s="4"/>
      <c r="O38" s="4"/>
      <c r="P38" s="9">
        <f>+P16/O16-1</f>
        <v>0.16661732780738103</v>
      </c>
      <c r="Q38" s="9">
        <f t="shared" ref="Q38:W38" si="93">+Q16/P16-1</f>
        <v>5.6460139564389999E-2</v>
      </c>
      <c r="R38" s="9">
        <f t="shared" si="93"/>
        <v>7.6100880704563556E-2</v>
      </c>
      <c r="S38" s="9">
        <f t="shared" si="93"/>
        <v>0.11253301588482567</v>
      </c>
      <c r="T38" s="9">
        <f t="shared" si="93"/>
        <v>9.3392630241423191E-2</v>
      </c>
      <c r="U38" s="9">
        <f t="shared" si="93"/>
        <v>2.516896541178637E-2</v>
      </c>
      <c r="V38" s="9">
        <f t="shared" si="93"/>
        <v>-1.5810512499254248E-2</v>
      </c>
      <c r="W38" s="9">
        <f t="shared" si="93"/>
        <v>2.8143186226964101E-2</v>
      </c>
      <c r="X38" s="9">
        <f t="shared" ref="X38" si="94">+X16/W16-1</f>
        <v>4.7198596718798447E-2</v>
      </c>
    </row>
    <row r="40" spans="1:24" x14ac:dyDescent="0.25">
      <c r="A40" s="1" t="s">
        <v>93</v>
      </c>
      <c r="P40" s="7">
        <f t="shared" ref="P40:X40" si="95">+P18/P16</f>
        <v>0.11421019242968915</v>
      </c>
      <c r="Q40" s="7">
        <f t="shared" si="95"/>
        <v>0.12752201761409127</v>
      </c>
      <c r="R40" s="7">
        <f t="shared" si="95"/>
        <v>0.13530002604069788</v>
      </c>
      <c r="S40" s="7">
        <f t="shared" si="95"/>
        <v>0.13988831672574065</v>
      </c>
      <c r="T40" s="7">
        <f t="shared" si="95"/>
        <v>0.1323282057555277</v>
      </c>
      <c r="U40" s="7">
        <f t="shared" si="95"/>
        <v>0.13515005071296463</v>
      </c>
      <c r="V40" s="7">
        <f t="shared" si="95"/>
        <v>0.12559105237633367</v>
      </c>
      <c r="W40" s="7">
        <f t="shared" si="95"/>
        <v>0.12896331127194469</v>
      </c>
      <c r="X40" s="7">
        <f>+X18/X16</f>
        <v>9.7546556310966592E-2</v>
      </c>
    </row>
    <row r="41" spans="1:24" x14ac:dyDescent="0.25">
      <c r="A41" s="1" t="s">
        <v>23</v>
      </c>
    </row>
    <row r="42" spans="1:24" x14ac:dyDescent="0.25">
      <c r="A42" s="1" t="s">
        <v>6</v>
      </c>
      <c r="F42" s="1">
        <v>675</v>
      </c>
      <c r="G42" s="1">
        <v>718</v>
      </c>
      <c r="H42" s="1">
        <v>671</v>
      </c>
      <c r="I42" s="1">
        <v>761</v>
      </c>
      <c r="J42" s="1">
        <v>679</v>
      </c>
      <c r="K42" s="1">
        <v>751</v>
      </c>
      <c r="L42" s="1">
        <v>659</v>
      </c>
      <c r="M42" s="1">
        <v>434</v>
      </c>
      <c r="O42" s="2">
        <v>1681</v>
      </c>
      <c r="P42" s="2">
        <v>1845</v>
      </c>
      <c r="Q42" s="2">
        <v>2176</v>
      </c>
      <c r="R42" s="2">
        <v>2272</v>
      </c>
      <c r="S42" s="2">
        <v>2521</v>
      </c>
      <c r="T42" s="2">
        <v>2843</v>
      </c>
      <c r="U42" s="2">
        <v>2800</v>
      </c>
      <c r="V42" s="2">
        <v>2867</v>
      </c>
      <c r="W42" s="2">
        <v>2825</v>
      </c>
      <c r="X42" s="1">
        <v>2523</v>
      </c>
    </row>
    <row r="43" spans="1:24" x14ac:dyDescent="0.25">
      <c r="A43" s="1" t="s">
        <v>7</v>
      </c>
      <c r="F43" s="1">
        <v>377</v>
      </c>
      <c r="G43" s="1">
        <v>371</v>
      </c>
      <c r="H43" s="1">
        <v>398</v>
      </c>
      <c r="I43" s="1">
        <v>395</v>
      </c>
      <c r="J43" s="1">
        <v>311</v>
      </c>
      <c r="K43" s="1">
        <v>450</v>
      </c>
      <c r="L43" s="1">
        <v>456</v>
      </c>
      <c r="M43" s="1">
        <v>-804</v>
      </c>
      <c r="O43" s="2">
        <v>1282</v>
      </c>
      <c r="P43" s="2">
        <v>1004</v>
      </c>
      <c r="Q43" s="2">
        <v>1034</v>
      </c>
      <c r="R43" s="2">
        <v>1248</v>
      </c>
      <c r="S43" s="2">
        <v>1441</v>
      </c>
      <c r="T43" s="2">
        <v>1545</v>
      </c>
      <c r="U43" s="2">
        <v>1650</v>
      </c>
      <c r="V43" s="2">
        <v>1637</v>
      </c>
      <c r="W43" s="2">
        <v>1541</v>
      </c>
      <c r="X43" s="1">
        <v>413</v>
      </c>
    </row>
    <row r="44" spans="1:24" x14ac:dyDescent="0.25">
      <c r="A44" s="1" t="s">
        <v>8</v>
      </c>
      <c r="F44" s="1">
        <v>350</v>
      </c>
      <c r="G44" s="1">
        <v>454</v>
      </c>
      <c r="H44" s="1">
        <v>482</v>
      </c>
      <c r="I44" s="1">
        <v>579</v>
      </c>
      <c r="J44" s="1">
        <v>430</v>
      </c>
      <c r="K44" s="1">
        <v>495</v>
      </c>
      <c r="L44" s="1">
        <v>483</v>
      </c>
      <c r="M44" s="1">
        <v>513</v>
      </c>
      <c r="O44" s="2">
        <v>844</v>
      </c>
      <c r="P44" s="2">
        <v>845</v>
      </c>
      <c r="Q44" s="2">
        <v>902</v>
      </c>
      <c r="R44" s="2">
        <v>1302</v>
      </c>
      <c r="S44" s="2">
        <v>1421</v>
      </c>
      <c r="T44" s="2">
        <v>1615</v>
      </c>
      <c r="U44" s="2">
        <v>2030</v>
      </c>
      <c r="V44" s="2">
        <v>1906</v>
      </c>
      <c r="W44" s="2">
        <v>1865</v>
      </c>
      <c r="X44" s="1">
        <v>1921</v>
      </c>
    </row>
    <row r="45" spans="1:24" x14ac:dyDescent="0.25">
      <c r="A45" s="1" t="s">
        <v>9</v>
      </c>
      <c r="F45" s="1">
        <v>280</v>
      </c>
      <c r="G45" s="1">
        <v>312</v>
      </c>
      <c r="H45" s="1">
        <v>259</v>
      </c>
      <c r="I45" s="1">
        <v>307</v>
      </c>
      <c r="J45" s="1">
        <v>325</v>
      </c>
      <c r="K45" s="1">
        <v>346</v>
      </c>
      <c r="L45" s="1">
        <v>272</v>
      </c>
      <c r="M45" s="1">
        <v>283</v>
      </c>
      <c r="O45" s="2">
        <v>1171</v>
      </c>
      <c r="P45" s="2">
        <v>1288</v>
      </c>
      <c r="Q45" s="2">
        <v>980</v>
      </c>
      <c r="R45" s="2">
        <v>1055</v>
      </c>
      <c r="S45" s="2">
        <v>1191</v>
      </c>
      <c r="T45" s="2">
        <v>1149</v>
      </c>
      <c r="U45" s="2">
        <v>1184</v>
      </c>
      <c r="V45" s="2">
        <v>1057</v>
      </c>
      <c r="W45" s="2">
        <v>1158</v>
      </c>
      <c r="X45" s="1">
        <v>1226</v>
      </c>
    </row>
    <row r="47" spans="1:24" x14ac:dyDescent="0.25">
      <c r="A47" s="1" t="s">
        <v>24</v>
      </c>
      <c r="B47" s="6"/>
      <c r="C47" s="6"/>
      <c r="D47" s="6"/>
      <c r="E47" s="6"/>
      <c r="F47" s="6">
        <f>+F42/F2</f>
        <v>0.1076726750677939</v>
      </c>
      <c r="G47" s="6">
        <f>+G42/G2</f>
        <v>0.10443636363636363</v>
      </c>
      <c r="H47" s="6">
        <f>+H42/H2</f>
        <v>9.9895786809587619E-2</v>
      </c>
      <c r="I47" s="6">
        <f>+I42/I2</f>
        <v>9.9960593721266255E-2</v>
      </c>
      <c r="J47" s="6">
        <f>+J42/J2</f>
        <v>9.9196493791088386E-2</v>
      </c>
      <c r="K47" s="6">
        <f>+K42/K2</f>
        <v>0.10320186890202006</v>
      </c>
      <c r="L47" s="6">
        <f t="shared" ref="L47:M47" si="96">+L42/L2</f>
        <v>0.10158779096654848</v>
      </c>
      <c r="M47" s="6">
        <f t="shared" si="96"/>
        <v>5.4189037333000373E-2</v>
      </c>
      <c r="O47" s="6">
        <f t="shared" ref="O47" si="97">+O42/O2</f>
        <v>0.1079640333975594</v>
      </c>
      <c r="P47" s="6">
        <f>+P42/P2</f>
        <v>0.10669056843809634</v>
      </c>
      <c r="Q47" s="6">
        <f>+Q42/Q2</f>
        <v>0.11210716125708398</v>
      </c>
      <c r="R47" s="6">
        <f>+R42/R2</f>
        <v>0.10695791356746069</v>
      </c>
      <c r="S47" s="6">
        <f t="shared" ref="S47" si="98">+S42/S2</f>
        <v>0.10640273498501668</v>
      </c>
      <c r="T47" s="6">
        <f t="shared" ref="T47" si="99">+T42/T2</f>
        <v>0.10823878778649204</v>
      </c>
      <c r="U47" s="6">
        <f>+U42/U2</f>
        <v>0.10468072379243308</v>
      </c>
      <c r="V47" s="6">
        <f>+V42/V2</f>
        <v>0.10623633601363619</v>
      </c>
      <c r="W47" s="6">
        <f>+W42/W2</f>
        <v>0.10282448860741064</v>
      </c>
      <c r="X47" s="6">
        <f t="shared" ref="X47" si="100">+X42/X2</f>
        <v>8.8161297085750226E-2</v>
      </c>
    </row>
    <row r="48" spans="1:24" x14ac:dyDescent="0.25">
      <c r="A48" s="1" t="s">
        <v>25</v>
      </c>
      <c r="B48" s="6"/>
      <c r="C48" s="6"/>
      <c r="D48" s="6"/>
      <c r="E48" s="6"/>
      <c r="F48" s="6">
        <f>+F43/F3</f>
        <v>0.15787269681742044</v>
      </c>
      <c r="G48" s="6">
        <f>+G43/G3</f>
        <v>0.13466424682395645</v>
      </c>
      <c r="H48" s="6">
        <f>+H43/H3</f>
        <v>0.13542021095610751</v>
      </c>
      <c r="I48" s="6">
        <f>+I43/I3</f>
        <v>0.12456638284452853</v>
      </c>
      <c r="J48" s="6">
        <f>+J43/J3</f>
        <v>0.10390912128299365</v>
      </c>
      <c r="K48" s="6">
        <f>+K43/K3</f>
        <v>0.14506769825918761</v>
      </c>
      <c r="L48" s="6">
        <f t="shared" ref="L48:M48" si="101">+L43/L3</f>
        <v>0.1436220472440945</v>
      </c>
      <c r="M48" s="6">
        <f t="shared" si="101"/>
        <v>-0.23563892145369286</v>
      </c>
      <c r="O48" s="6">
        <f t="shared" ref="O48" si="102">+O43/O3</f>
        <v>0.18936484490398819</v>
      </c>
      <c r="P48" s="6">
        <f>+P43/P3</f>
        <v>0.14788628664015319</v>
      </c>
      <c r="Q48" s="6">
        <f>+Q43/Q3</f>
        <v>0.1419939577039275</v>
      </c>
      <c r="R48" s="6">
        <f>+R43/R3</f>
        <v>0.14748286457102339</v>
      </c>
      <c r="S48" s="6">
        <f t="shared" ref="S48" si="103">+S43/S3</f>
        <v>0.14223669923995658</v>
      </c>
      <c r="T48" s="6">
        <f t="shared" ref="T48" si="104">+T43/T3</f>
        <v>0.13724793461845963</v>
      </c>
      <c r="U48" s="6">
        <f>+U43/U3</f>
        <v>0.14111006585136407</v>
      </c>
      <c r="V48" s="6">
        <f>+V43/V3</f>
        <v>0.14464964213130688</v>
      </c>
      <c r="W48" s="6">
        <f>+W43/W3</f>
        <v>0.13373253493013973</v>
      </c>
      <c r="X48" s="6">
        <f t="shared" ref="X48" si="105">+X43/X3</f>
        <v>3.25658413499448E-2</v>
      </c>
    </row>
    <row r="49" spans="1:25" x14ac:dyDescent="0.25">
      <c r="A49" s="1" t="s">
        <v>26</v>
      </c>
      <c r="B49" s="6"/>
      <c r="C49" s="6"/>
      <c r="D49" s="6"/>
      <c r="E49" s="6"/>
      <c r="F49" s="6">
        <f>+F44/F4</f>
        <v>9.9715099715099717E-2</v>
      </c>
      <c r="G49" s="6">
        <f>+G44/G4</f>
        <v>0.11649987169617655</v>
      </c>
      <c r="H49" s="6">
        <f>+H44/H4</f>
        <v>0.11696190245086144</v>
      </c>
      <c r="I49" s="6">
        <f>+I44/I4</f>
        <v>0.12290384207174697</v>
      </c>
      <c r="J49" s="6">
        <f>+J44/J4</f>
        <v>0.10518590998043052</v>
      </c>
      <c r="K49" s="6">
        <f>+K44/K4</f>
        <v>0.10883905013192612</v>
      </c>
      <c r="L49" s="6">
        <f t="shared" ref="L49:M49" si="106">+L44/L4</f>
        <v>0.11060224410350356</v>
      </c>
      <c r="M49" s="6">
        <f t="shared" si="106"/>
        <v>0.12039427364468434</v>
      </c>
      <c r="O49" s="6">
        <f t="shared" ref="O49" si="107">+O44/O4</f>
        <v>9.283907160928391E-2</v>
      </c>
      <c r="P49" s="6">
        <f>+P44/P4</f>
        <v>6.2155204119161457E-2</v>
      </c>
      <c r="Q49" s="6">
        <f>+Q44/Q4</f>
        <v>6.6017712069091711E-2</v>
      </c>
      <c r="R49" s="6">
        <f>+R44/R4</f>
        <v>9.1368421052631585E-2</v>
      </c>
      <c r="S49" s="6">
        <f t="shared" ref="S49" si="108">+S44/S4</f>
        <v>9.3931782125859328E-2</v>
      </c>
      <c r="T49" s="6">
        <f t="shared" ref="T49" si="109">+T44/T4</f>
        <v>0.10096905282900906</v>
      </c>
      <c r="U49" s="6">
        <f>+U44/U4</f>
        <v>0.12091250223360533</v>
      </c>
      <c r="V49" s="6">
        <f>+V44/V4</f>
        <v>0.11803319296507307</v>
      </c>
      <c r="W49" s="6">
        <f>+W44/W4</f>
        <v>0.11484697333579653</v>
      </c>
      <c r="X49" s="6">
        <f t="shared" ref="X49" si="110">+X44/X4</f>
        <v>0.11127201112140871</v>
      </c>
    </row>
    <row r="50" spans="1:25" x14ac:dyDescent="0.25">
      <c r="A50" s="1" t="s">
        <v>27</v>
      </c>
      <c r="B50" s="6"/>
      <c r="C50" s="6"/>
      <c r="D50" s="6"/>
      <c r="E50" s="6"/>
      <c r="F50" s="6">
        <f>+F45/F5</f>
        <v>9.4626563028050018E-2</v>
      </c>
      <c r="G50" s="6">
        <f>+G45/G5</f>
        <v>9.8547062539481992E-2</v>
      </c>
      <c r="H50" s="6">
        <f>+H45/H5</f>
        <v>8.35214446952596E-2</v>
      </c>
      <c r="I50" s="6">
        <f>+I45/I5</f>
        <v>9.0855282627996442E-2</v>
      </c>
      <c r="J50" s="6">
        <f>+J45/J5</f>
        <v>9.9418782502294273E-2</v>
      </c>
      <c r="K50" s="6">
        <f>+K45/K5</f>
        <v>0.1082942097026604</v>
      </c>
      <c r="L50" s="6">
        <f t="shared" ref="L50:M50" si="111">+L45/L5</f>
        <v>8.8455284552845528E-2</v>
      </c>
      <c r="M50" s="6">
        <f t="shared" si="111"/>
        <v>9.6258503401360537E-2</v>
      </c>
      <c r="O50" s="6">
        <f t="shared" ref="O50" si="112">+O45/O5</f>
        <v>0.12861065348709499</v>
      </c>
      <c r="P50" s="6">
        <f>+P45/P5</f>
        <v>0.13398522833662749</v>
      </c>
      <c r="Q50" s="6">
        <f>+Q45/Q5</f>
        <v>0.10203019260801666</v>
      </c>
      <c r="R50" s="6">
        <f>+R45/R5</f>
        <v>0.1075652528548124</v>
      </c>
      <c r="S50" s="6">
        <f t="shared" ref="S50" si="113">+S45/S5</f>
        <v>0.10966850828729281</v>
      </c>
      <c r="T50" s="6">
        <f t="shared" ref="T50" si="114">+T45/T5</f>
        <v>9.6717171717171715E-2</v>
      </c>
      <c r="U50" s="6">
        <f>+U45/U5</f>
        <v>0.10022007787370917</v>
      </c>
      <c r="V50" s="6">
        <f>+V45/V5</f>
        <v>9.1657995143947277E-2</v>
      </c>
      <c r="W50" s="6">
        <f>+W45/W5</f>
        <v>9.1868306227687421E-2</v>
      </c>
      <c r="X50" s="6">
        <f t="shared" ref="X50" si="115">+X45/X5</f>
        <v>9.8245051686833881E-2</v>
      </c>
    </row>
    <row r="52" spans="1:25" x14ac:dyDescent="0.25">
      <c r="A52" s="1" t="s">
        <v>28</v>
      </c>
      <c r="B52" s="2"/>
      <c r="C52" s="2"/>
      <c r="D52" s="2"/>
      <c r="E52" s="2"/>
      <c r="F52" s="2">
        <v>1564</v>
      </c>
      <c r="G52" s="2">
        <f>2664-F52</f>
        <v>1100</v>
      </c>
      <c r="H52" s="2">
        <f>5555-G52-F52</f>
        <v>2891</v>
      </c>
      <c r="I52" s="2"/>
      <c r="J52" s="2">
        <v>1635</v>
      </c>
      <c r="K52" s="2">
        <f>3511-J52</f>
        <v>1876</v>
      </c>
      <c r="L52" s="2">
        <f>5949-K52-J52</f>
        <v>2438</v>
      </c>
      <c r="O52" s="2">
        <v>5101</v>
      </c>
      <c r="P52" s="2">
        <v>5189</v>
      </c>
      <c r="Q52" s="2">
        <v>6476</v>
      </c>
      <c r="R52" s="2">
        <v>3138</v>
      </c>
      <c r="S52" s="2">
        <v>7311</v>
      </c>
      <c r="T52" s="2">
        <v>8183</v>
      </c>
      <c r="U52" s="2">
        <v>9221</v>
      </c>
      <c r="V52" s="2">
        <v>7802</v>
      </c>
      <c r="W52" s="2">
        <v>7920</v>
      </c>
      <c r="X52" s="2">
        <v>6972</v>
      </c>
      <c r="Y52" s="2"/>
    </row>
    <row r="53" spans="1:25" x14ac:dyDescent="0.25">
      <c r="A53" s="1" t="s">
        <v>29</v>
      </c>
      <c r="B53" s="2"/>
      <c r="C53" s="2"/>
      <c r="D53" s="2"/>
      <c r="E53" s="2"/>
      <c r="F53" s="2">
        <v>294</v>
      </c>
      <c r="G53" s="2">
        <f>623-F53</f>
        <v>329</v>
      </c>
      <c r="H53" s="2">
        <f>987-G53-F53</f>
        <v>364</v>
      </c>
      <c r="I53" s="2"/>
      <c r="J53" s="2">
        <v>378</v>
      </c>
      <c r="K53" s="2">
        <f>748-J53</f>
        <v>370</v>
      </c>
      <c r="L53" s="2">
        <f>1103-K53-J53</f>
        <v>355</v>
      </c>
      <c r="O53" s="2">
        <v>939</v>
      </c>
      <c r="P53" s="2">
        <v>1063</v>
      </c>
      <c r="Q53" s="2">
        <v>1177</v>
      </c>
      <c r="R53" s="2">
        <v>1278</v>
      </c>
      <c r="S53" s="2">
        <v>1484</v>
      </c>
      <c r="T53" s="2">
        <v>1766</v>
      </c>
      <c r="U53" s="2">
        <v>1522</v>
      </c>
      <c r="V53" s="2">
        <v>1670</v>
      </c>
      <c r="W53" s="2">
        <v>1691</v>
      </c>
      <c r="X53" s="2">
        <v>1685</v>
      </c>
      <c r="Y53" s="2"/>
    </row>
    <row r="54" spans="1:25" x14ac:dyDescent="0.25">
      <c r="A54" s="4" t="s">
        <v>30</v>
      </c>
      <c r="B54" s="5">
        <f t="shared" ref="B54:J54" si="116">+B52-B53</f>
        <v>0</v>
      </c>
      <c r="C54" s="5">
        <f t="shared" si="116"/>
        <v>0</v>
      </c>
      <c r="D54" s="5">
        <f t="shared" si="116"/>
        <v>0</v>
      </c>
      <c r="E54" s="5">
        <f t="shared" si="116"/>
        <v>0</v>
      </c>
      <c r="F54" s="5">
        <f t="shared" si="116"/>
        <v>1270</v>
      </c>
      <c r="G54" s="5">
        <f t="shared" si="116"/>
        <v>771</v>
      </c>
      <c r="H54" s="5">
        <f t="shared" si="116"/>
        <v>2527</v>
      </c>
      <c r="I54" s="5">
        <f t="shared" si="116"/>
        <v>0</v>
      </c>
      <c r="J54" s="5">
        <f t="shared" si="116"/>
        <v>1257</v>
      </c>
      <c r="K54" s="5">
        <f>+K52-K53</f>
        <v>1506</v>
      </c>
      <c r="L54" s="5">
        <f t="shared" ref="L54" si="117">+L52-L53</f>
        <v>2083</v>
      </c>
      <c r="M54" s="4"/>
      <c r="N54" s="4"/>
      <c r="O54" s="5">
        <f t="shared" ref="O54:Y54" si="118">+O52-O53</f>
        <v>4162</v>
      </c>
      <c r="P54" s="5">
        <f t="shared" si="118"/>
        <v>4126</v>
      </c>
      <c r="Q54" s="5">
        <f t="shared" si="118"/>
        <v>5299</v>
      </c>
      <c r="R54" s="5">
        <f t="shared" si="118"/>
        <v>1860</v>
      </c>
      <c r="S54" s="5">
        <f t="shared" si="118"/>
        <v>5827</v>
      </c>
      <c r="T54" s="5">
        <f t="shared" si="118"/>
        <v>6417</v>
      </c>
      <c r="U54" s="5">
        <f t="shared" si="118"/>
        <v>7699</v>
      </c>
      <c r="V54" s="5">
        <f t="shared" si="118"/>
        <v>6132</v>
      </c>
      <c r="W54" s="5">
        <f t="shared" si="118"/>
        <v>6229</v>
      </c>
      <c r="X54" s="5">
        <f t="shared" si="118"/>
        <v>5287</v>
      </c>
      <c r="Y54" s="5">
        <f t="shared" si="118"/>
        <v>0</v>
      </c>
    </row>
    <row r="55" spans="1:25" x14ac:dyDescent="0.25">
      <c r="B55" s="2"/>
      <c r="C55" s="2"/>
      <c r="D55" s="2"/>
      <c r="E55" s="2"/>
      <c r="F55" s="2"/>
      <c r="G55" s="2"/>
      <c r="H55" s="2"/>
      <c r="I55" s="2"/>
      <c r="J55" s="2"/>
      <c r="K55" s="2"/>
    </row>
    <row r="56" spans="1:25" x14ac:dyDescent="0.25">
      <c r="A56" s="1" t="s">
        <v>47</v>
      </c>
      <c r="B56" s="2"/>
      <c r="C56" s="2"/>
      <c r="D56" s="2"/>
      <c r="E56" s="2"/>
      <c r="F56" s="2"/>
      <c r="G56" s="2"/>
      <c r="H56" s="2"/>
      <c r="I56" s="2"/>
      <c r="J56" s="2"/>
      <c r="K56" s="2">
        <f>+K57-K72-K74</f>
        <v>-16734</v>
      </c>
    </row>
    <row r="57" spans="1:25" x14ac:dyDescent="0.25">
      <c r="A57" s="1" t="s">
        <v>4</v>
      </c>
      <c r="B57" s="2"/>
      <c r="C57" s="2"/>
      <c r="D57" s="2"/>
      <c r="E57" s="2"/>
      <c r="F57" s="2"/>
      <c r="G57" s="2"/>
      <c r="H57" s="2"/>
      <c r="I57" s="2"/>
      <c r="J57" s="2"/>
      <c r="K57" s="2">
        <v>2523</v>
      </c>
    </row>
    <row r="58" spans="1:25" x14ac:dyDescent="0.25">
      <c r="A58" s="1" t="s">
        <v>48</v>
      </c>
      <c r="B58" s="2"/>
      <c r="C58" s="2"/>
      <c r="D58" s="2"/>
      <c r="E58" s="2"/>
      <c r="F58" s="2"/>
      <c r="G58" s="2"/>
      <c r="H58" s="2"/>
      <c r="I58" s="2"/>
      <c r="J58" s="2"/>
      <c r="K58" s="2">
        <v>2930</v>
      </c>
    </row>
    <row r="59" spans="1:25" x14ac:dyDescent="0.25">
      <c r="A59" s="1" t="s">
        <v>49</v>
      </c>
      <c r="B59" s="2"/>
      <c r="C59" s="2"/>
      <c r="D59" s="2"/>
      <c r="E59" s="2"/>
      <c r="F59" s="2"/>
      <c r="G59" s="2"/>
      <c r="H59" s="2"/>
      <c r="I59" s="2"/>
      <c r="J59" s="2"/>
      <c r="K59" s="2">
        <v>13907</v>
      </c>
    </row>
    <row r="60" spans="1:25" x14ac:dyDescent="0.25">
      <c r="A60" s="1" t="s">
        <v>50</v>
      </c>
      <c r="B60" s="2"/>
      <c r="C60" s="2"/>
      <c r="D60" s="2"/>
      <c r="E60" s="2"/>
      <c r="F60" s="2"/>
      <c r="G60" s="2"/>
      <c r="H60" s="2"/>
      <c r="I60" s="2"/>
      <c r="J60" s="2"/>
      <c r="K60" s="2">
        <v>3097</v>
      </c>
    </row>
    <row r="61" spans="1:25" x14ac:dyDescent="0.25">
      <c r="A61" s="1" t="s">
        <v>51</v>
      </c>
      <c r="B61" s="2"/>
      <c r="C61" s="2"/>
      <c r="D61" s="2"/>
      <c r="E61" s="2"/>
      <c r="F61" s="2"/>
      <c r="G61" s="2"/>
      <c r="H61" s="2"/>
      <c r="I61" s="2"/>
      <c r="J61" s="2"/>
      <c r="K61" s="2">
        <v>510</v>
      </c>
    </row>
    <row r="62" spans="1:25" x14ac:dyDescent="0.25">
      <c r="A62" s="1" t="s">
        <v>52</v>
      </c>
      <c r="B62" s="2"/>
      <c r="C62" s="2"/>
      <c r="D62" s="2"/>
      <c r="E62" s="2"/>
      <c r="F62" s="2"/>
      <c r="G62" s="2"/>
      <c r="H62" s="2"/>
      <c r="I62" s="2"/>
      <c r="J62" s="2"/>
      <c r="K62" s="2">
        <v>8394</v>
      </c>
    </row>
    <row r="63" spans="1:25" x14ac:dyDescent="0.25">
      <c r="A63" s="1" t="s">
        <v>53</v>
      </c>
      <c r="B63" s="2"/>
      <c r="C63" s="2"/>
      <c r="D63" s="2"/>
      <c r="E63" s="2"/>
      <c r="F63" s="2"/>
      <c r="G63" s="2"/>
      <c r="H63" s="2"/>
      <c r="I63" s="2"/>
      <c r="J63" s="2"/>
      <c r="K63" s="2">
        <v>10787</v>
      </c>
    </row>
    <row r="64" spans="1:25" x14ac:dyDescent="0.25">
      <c r="A64" s="1" t="s">
        <v>54</v>
      </c>
      <c r="B64" s="2"/>
      <c r="C64" s="2"/>
      <c r="D64" s="2"/>
      <c r="E64" s="2"/>
      <c r="F64" s="2"/>
      <c r="G64" s="2"/>
      <c r="H64" s="2"/>
      <c r="I64" s="2"/>
      <c r="J64" s="2"/>
      <c r="K64" s="2">
        <v>2040</v>
      </c>
    </row>
    <row r="65" spans="1:11" x14ac:dyDescent="0.25">
      <c r="A65" s="1" t="s">
        <v>55</v>
      </c>
      <c r="B65" s="2"/>
      <c r="C65" s="2"/>
      <c r="D65" s="2"/>
      <c r="E65" s="2"/>
      <c r="F65" s="2"/>
      <c r="G65" s="2"/>
      <c r="H65" s="2"/>
      <c r="I65" s="2"/>
      <c r="J65" s="2"/>
      <c r="K65" s="2">
        <v>3080</v>
      </c>
    </row>
    <row r="66" spans="1:11" x14ac:dyDescent="0.25">
      <c r="A66" s="1" t="s">
        <v>56</v>
      </c>
      <c r="B66" s="2"/>
      <c r="C66" s="2"/>
      <c r="D66" s="2"/>
      <c r="E66" s="2"/>
      <c r="F66" s="2"/>
      <c r="G66" s="2"/>
      <c r="H66" s="2"/>
      <c r="I66" s="2"/>
      <c r="J66" s="2"/>
      <c r="K66" s="2">
        <v>7808</v>
      </c>
    </row>
    <row r="67" spans="1:11" x14ac:dyDescent="0.25">
      <c r="A67" s="1" t="s">
        <v>57</v>
      </c>
      <c r="B67" s="2"/>
      <c r="C67" s="2"/>
      <c r="D67" s="2"/>
      <c r="E67" s="2"/>
      <c r="F67" s="2"/>
      <c r="G67" s="2"/>
      <c r="H67" s="2"/>
      <c r="I67" s="2"/>
      <c r="J67" s="2"/>
      <c r="K67" s="2">
        <f>+SUM(K57:K66)</f>
        <v>55076</v>
      </c>
    </row>
    <row r="68" spans="1:11" x14ac:dyDescent="0.25">
      <c r="B68" s="2"/>
      <c r="C68" s="2"/>
      <c r="D68" s="2"/>
      <c r="E68" s="2"/>
      <c r="F68" s="2"/>
      <c r="G68" s="2"/>
      <c r="H68" s="2"/>
      <c r="I68" s="2"/>
      <c r="J68" s="2"/>
      <c r="K68" s="2"/>
    </row>
    <row r="69" spans="1:11" x14ac:dyDescent="0.25">
      <c r="A69" s="1" t="s">
        <v>58</v>
      </c>
      <c r="B69" s="2"/>
      <c r="C69" s="2"/>
      <c r="D69" s="2"/>
      <c r="E69" s="2"/>
      <c r="F69" s="2"/>
      <c r="G69" s="2"/>
      <c r="H69" s="2"/>
      <c r="I69" s="2"/>
      <c r="J69" s="2"/>
      <c r="K69" s="2">
        <v>3282</v>
      </c>
    </row>
    <row r="70" spans="1:11" x14ac:dyDescent="0.25">
      <c r="A70" s="1" t="s">
        <v>59</v>
      </c>
      <c r="B70" s="2"/>
      <c r="C70" s="2"/>
      <c r="D70" s="2"/>
      <c r="E70" s="2"/>
      <c r="F70" s="2"/>
      <c r="G70" s="2"/>
      <c r="H70" s="2"/>
      <c r="I70" s="2"/>
      <c r="J70" s="2"/>
      <c r="K70" s="2">
        <v>2871</v>
      </c>
    </row>
    <row r="71" spans="1:11" x14ac:dyDescent="0.25">
      <c r="A71" s="1" t="s">
        <v>60</v>
      </c>
      <c r="B71" s="2"/>
      <c r="C71" s="2"/>
      <c r="D71" s="2"/>
      <c r="E71" s="2"/>
      <c r="F71" s="2"/>
      <c r="G71" s="2"/>
      <c r="H71" s="2"/>
      <c r="I71" s="2"/>
      <c r="J71" s="2"/>
      <c r="K71" s="2">
        <v>9181</v>
      </c>
    </row>
    <row r="72" spans="1:11" x14ac:dyDescent="0.25">
      <c r="A72" s="1" t="s">
        <v>61</v>
      </c>
      <c r="B72" s="2"/>
      <c r="C72" s="2"/>
      <c r="D72" s="2"/>
      <c r="E72" s="2"/>
      <c r="F72" s="2"/>
      <c r="G72" s="2"/>
      <c r="H72" s="2"/>
      <c r="I72" s="2"/>
      <c r="J72" s="2"/>
      <c r="K72" s="2">
        <v>142</v>
      </c>
    </row>
    <row r="73" spans="1:11" x14ac:dyDescent="0.25">
      <c r="A73" s="1" t="s">
        <v>62</v>
      </c>
      <c r="B73" s="2"/>
      <c r="C73" s="2"/>
      <c r="D73" s="2"/>
      <c r="E73" s="2"/>
      <c r="F73" s="2"/>
      <c r="G73" s="2"/>
      <c r="H73" s="2"/>
      <c r="I73" s="2"/>
      <c r="J73" s="2"/>
      <c r="K73" s="2">
        <v>3017</v>
      </c>
    </row>
    <row r="74" spans="1:11" x14ac:dyDescent="0.25">
      <c r="A74" s="1" t="s">
        <v>63</v>
      </c>
      <c r="B74" s="2"/>
      <c r="C74" s="2"/>
      <c r="D74" s="2"/>
      <c r="E74" s="2"/>
      <c r="F74" s="2"/>
      <c r="G74" s="2"/>
      <c r="H74" s="2"/>
      <c r="I74" s="2"/>
      <c r="J74" s="2"/>
      <c r="K74" s="2">
        <v>19115</v>
      </c>
    </row>
    <row r="75" spans="1:11" x14ac:dyDescent="0.25">
      <c r="A75" s="1" t="s">
        <v>64</v>
      </c>
      <c r="B75" s="2"/>
      <c r="C75" s="2"/>
      <c r="D75" s="2"/>
      <c r="E75" s="2"/>
      <c r="F75" s="2"/>
      <c r="G75" s="2"/>
      <c r="H75" s="2"/>
      <c r="I75" s="2"/>
      <c r="J75" s="2"/>
      <c r="K75" s="2">
        <v>6105</v>
      </c>
    </row>
    <row r="76" spans="1:11" x14ac:dyDescent="0.25">
      <c r="A76" s="1" t="s">
        <v>65</v>
      </c>
      <c r="B76" s="2"/>
      <c r="C76" s="2"/>
      <c r="D76" s="2"/>
      <c r="E76" s="2"/>
      <c r="F76" s="2"/>
      <c r="G76" s="2"/>
      <c r="H76" s="2"/>
      <c r="I76" s="2"/>
      <c r="J76" s="2"/>
      <c r="K76" s="2">
        <v>5188</v>
      </c>
    </row>
    <row r="77" spans="1:11" x14ac:dyDescent="0.25">
      <c r="A77" s="1" t="s">
        <v>66</v>
      </c>
      <c r="B77" s="2"/>
      <c r="C77" s="2"/>
      <c r="D77" s="2"/>
      <c r="E77" s="2"/>
      <c r="F77" s="2"/>
      <c r="G77" s="2"/>
      <c r="H77" s="2"/>
      <c r="I77" s="2"/>
      <c r="J77" s="2"/>
      <c r="K77" s="2">
        <f>+SUM(K69:K76)</f>
        <v>48901</v>
      </c>
    </row>
    <row r="78" spans="1:11" x14ac:dyDescent="0.25">
      <c r="A78" s="1" t="s">
        <v>67</v>
      </c>
      <c r="B78" s="2"/>
      <c r="C78" s="2"/>
      <c r="D78" s="2"/>
      <c r="E78" s="2"/>
      <c r="F78" s="2"/>
      <c r="G78" s="2"/>
      <c r="H78" s="2"/>
      <c r="I78" s="2"/>
      <c r="J78" s="2"/>
      <c r="K78" s="2">
        <f>+K67-K77</f>
        <v>6175</v>
      </c>
    </row>
  </sheetData>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CF11E-2B15-4174-B055-B358219EDD14}">
  <dimension ref="A2:K19"/>
  <sheetViews>
    <sheetView workbookViewId="0">
      <pane xSplit="1" ySplit="2" topLeftCell="F3" activePane="bottomRight" state="frozen"/>
      <selection pane="topRight" activeCell="B1" sqref="B1"/>
      <selection pane="bottomLeft" activeCell="A3" sqref="A3"/>
      <selection pane="bottomRight" activeCell="K19" sqref="K19"/>
    </sheetView>
  </sheetViews>
  <sheetFormatPr defaultColWidth="9.109375" defaultRowHeight="13.2" x14ac:dyDescent="0.25"/>
  <cols>
    <col min="1" max="1" width="35.33203125" style="1" bestFit="1" customWidth="1"/>
    <col min="2" max="16384" width="9.109375" style="1"/>
  </cols>
  <sheetData>
    <row r="2" spans="1:11" x14ac:dyDescent="0.25">
      <c r="A2" s="1" t="s">
        <v>76</v>
      </c>
      <c r="B2" s="4">
        <v>2015</v>
      </c>
      <c r="C2" s="4">
        <f>+B2+1</f>
        <v>2016</v>
      </c>
      <c r="D2" s="4">
        <f t="shared" ref="D2:J2" si="0">+C2+1</f>
        <v>2017</v>
      </c>
      <c r="E2" s="4">
        <f t="shared" si="0"/>
        <v>2018</v>
      </c>
      <c r="F2" s="4">
        <f t="shared" si="0"/>
        <v>2019</v>
      </c>
      <c r="G2" s="4">
        <f t="shared" si="0"/>
        <v>2020</v>
      </c>
      <c r="H2" s="4">
        <f t="shared" si="0"/>
        <v>2021</v>
      </c>
      <c r="I2" s="4">
        <f t="shared" si="0"/>
        <v>2022</v>
      </c>
      <c r="J2" s="4">
        <f t="shared" si="0"/>
        <v>2023</v>
      </c>
      <c r="K2" s="4">
        <v>2024</v>
      </c>
    </row>
    <row r="3" spans="1:11" x14ac:dyDescent="0.25">
      <c r="A3" s="1" t="s">
        <v>77</v>
      </c>
      <c r="B3" s="1">
        <v>45</v>
      </c>
      <c r="C3" s="1">
        <v>46</v>
      </c>
      <c r="D3" s="1">
        <v>66</v>
      </c>
      <c r="E3" s="1">
        <v>91</v>
      </c>
      <c r="F3" s="1">
        <v>134</v>
      </c>
      <c r="G3" s="1">
        <v>120</v>
      </c>
      <c r="H3" s="1">
        <v>142</v>
      </c>
      <c r="I3" s="1">
        <v>141</v>
      </c>
      <c r="J3" s="1">
        <v>98</v>
      </c>
      <c r="K3" s="1">
        <v>110</v>
      </c>
    </row>
    <row r="4" spans="1:11" x14ac:dyDescent="0.25">
      <c r="A4" s="1" t="s">
        <v>78</v>
      </c>
      <c r="B4" s="1">
        <v>11</v>
      </c>
      <c r="C4" s="1">
        <v>12</v>
      </c>
      <c r="D4" s="1">
        <v>8</v>
      </c>
      <c r="J4" s="1">
        <v>5</v>
      </c>
      <c r="K4" s="1">
        <v>16</v>
      </c>
    </row>
    <row r="5" spans="1:11" x14ac:dyDescent="0.25">
      <c r="A5" s="1" t="s">
        <v>79</v>
      </c>
      <c r="B5" s="1">
        <v>21</v>
      </c>
      <c r="C5" s="1">
        <v>24</v>
      </c>
      <c r="D5" s="1">
        <v>26</v>
      </c>
      <c r="E5" s="1">
        <v>25</v>
      </c>
      <c r="F5" s="1">
        <v>28</v>
      </c>
      <c r="G5" s="1">
        <v>22</v>
      </c>
      <c r="H5" s="1">
        <v>22</v>
      </c>
      <c r="I5" s="1">
        <v>24</v>
      </c>
      <c r="J5" s="1">
        <v>21</v>
      </c>
      <c r="K5" s="1">
        <v>21</v>
      </c>
    </row>
    <row r="6" spans="1:11" x14ac:dyDescent="0.25">
      <c r="A6" s="1" t="s">
        <v>85</v>
      </c>
      <c r="B6" s="1">
        <v>9</v>
      </c>
      <c r="C6" s="1">
        <v>9</v>
      </c>
      <c r="D6" s="1">
        <v>7</v>
      </c>
      <c r="E6" s="1">
        <v>4</v>
      </c>
    </row>
    <row r="7" spans="1:11" x14ac:dyDescent="0.25">
      <c r="A7" s="1" t="s">
        <v>87</v>
      </c>
      <c r="D7" s="1">
        <v>2</v>
      </c>
    </row>
    <row r="8" spans="1:11" x14ac:dyDescent="0.25">
      <c r="A8" s="1" t="s">
        <v>80</v>
      </c>
      <c r="C8" s="1">
        <v>166</v>
      </c>
      <c r="D8" s="1">
        <v>164</v>
      </c>
      <c r="E8" s="1">
        <v>107</v>
      </c>
      <c r="F8" s="1">
        <v>85</v>
      </c>
      <c r="G8" s="1">
        <v>80</v>
      </c>
      <c r="H8" s="1">
        <v>90</v>
      </c>
      <c r="I8" s="1">
        <v>86</v>
      </c>
      <c r="J8" s="1">
        <v>52</v>
      </c>
      <c r="K8" s="1">
        <v>72</v>
      </c>
    </row>
    <row r="9" spans="1:11" x14ac:dyDescent="0.25">
      <c r="A9" s="1" t="s">
        <v>81</v>
      </c>
      <c r="C9" s="1">
        <v>12</v>
      </c>
      <c r="D9" s="1">
        <v>7</v>
      </c>
      <c r="E9" s="1">
        <v>5</v>
      </c>
      <c r="F9" s="1">
        <v>2</v>
      </c>
      <c r="G9" s="1">
        <v>1</v>
      </c>
      <c r="H9" s="1">
        <v>3</v>
      </c>
      <c r="J9" s="1">
        <v>6</v>
      </c>
      <c r="K9" s="1">
        <v>1</v>
      </c>
    </row>
    <row r="10" spans="1:11" x14ac:dyDescent="0.25">
      <c r="A10" s="1" t="s">
        <v>82</v>
      </c>
      <c r="C10" s="1">
        <v>2</v>
      </c>
      <c r="D10" s="1">
        <v>9</v>
      </c>
      <c r="E10" s="1">
        <v>13</v>
      </c>
      <c r="F10" s="1">
        <v>13</v>
      </c>
      <c r="G10" s="1">
        <v>15</v>
      </c>
      <c r="H10" s="1">
        <v>17</v>
      </c>
      <c r="I10" s="1">
        <v>9</v>
      </c>
      <c r="J10" s="1">
        <v>11</v>
      </c>
      <c r="K10" s="1">
        <v>17</v>
      </c>
    </row>
    <row r="11" spans="1:11" x14ac:dyDescent="0.25">
      <c r="A11" s="4" t="s">
        <v>83</v>
      </c>
      <c r="B11" s="4">
        <f t="shared" ref="B11:I11" si="1">+SUM(B3:B10)</f>
        <v>86</v>
      </c>
      <c r="C11" s="4">
        <f t="shared" si="1"/>
        <v>271</v>
      </c>
      <c r="D11" s="4">
        <f>+SUM(D3:D10)</f>
        <v>289</v>
      </c>
      <c r="E11" s="4">
        <f t="shared" si="1"/>
        <v>245</v>
      </c>
      <c r="F11" s="4">
        <f t="shared" si="1"/>
        <v>262</v>
      </c>
      <c r="G11" s="4">
        <f t="shared" si="1"/>
        <v>238</v>
      </c>
      <c r="H11" s="4">
        <f t="shared" si="1"/>
        <v>274</v>
      </c>
      <c r="I11" s="4">
        <f t="shared" si="1"/>
        <v>260</v>
      </c>
      <c r="J11" s="4">
        <f>+SUM(J3:J10)</f>
        <v>193</v>
      </c>
      <c r="K11" s="4">
        <f t="shared" ref="K11" si="2">+SUM(K3:K10)</f>
        <v>237</v>
      </c>
    </row>
    <row r="13" spans="1:11" x14ac:dyDescent="0.25">
      <c r="A13" s="1" t="s">
        <v>84</v>
      </c>
    </row>
    <row r="14" spans="1:11" x14ac:dyDescent="0.25">
      <c r="A14" s="1" t="s">
        <v>6</v>
      </c>
      <c r="B14" s="2">
        <v>31800</v>
      </c>
      <c r="C14" s="2">
        <v>34182</v>
      </c>
      <c r="D14" s="2">
        <v>35832</v>
      </c>
      <c r="E14" s="2">
        <v>55601</v>
      </c>
      <c r="F14" s="2">
        <v>55636</v>
      </c>
      <c r="G14" s="2">
        <v>56551</v>
      </c>
      <c r="H14" s="2">
        <v>49118</v>
      </c>
      <c r="I14" s="2">
        <v>56630</v>
      </c>
      <c r="J14" s="2">
        <v>60156</v>
      </c>
      <c r="K14" s="2">
        <v>62763</v>
      </c>
    </row>
    <row r="15" spans="1:11" x14ac:dyDescent="0.25">
      <c r="A15" s="1" t="s">
        <v>88</v>
      </c>
      <c r="B15" s="2">
        <v>4800</v>
      </c>
      <c r="C15" s="2"/>
      <c r="D15" s="2"/>
      <c r="E15" s="2"/>
      <c r="F15" s="2"/>
      <c r="G15" s="2"/>
      <c r="H15" s="2"/>
      <c r="I15" s="2"/>
      <c r="J15" s="2"/>
      <c r="K15" s="2"/>
    </row>
    <row r="16" spans="1:11" x14ac:dyDescent="0.25">
      <c r="A16" s="1" t="s">
        <v>7</v>
      </c>
      <c r="B16" s="2">
        <v>15500</v>
      </c>
      <c r="C16" s="2">
        <v>14704</v>
      </c>
      <c r="D16" s="2">
        <v>17863</v>
      </c>
      <c r="E16" s="2">
        <v>21363</v>
      </c>
      <c r="F16" s="2">
        <v>25796</v>
      </c>
      <c r="G16" s="2">
        <v>29183</v>
      </c>
      <c r="H16" s="2">
        <v>27021</v>
      </c>
      <c r="I16" s="2">
        <v>28735</v>
      </c>
      <c r="J16" s="2">
        <v>32229</v>
      </c>
      <c r="K16" s="2">
        <v>38783</v>
      </c>
    </row>
    <row r="17" spans="1:11" x14ac:dyDescent="0.25">
      <c r="A17" s="1" t="s">
        <v>8</v>
      </c>
      <c r="B17" s="2">
        <v>30100</v>
      </c>
      <c r="C17" s="2">
        <v>28430</v>
      </c>
      <c r="D17" s="2">
        <v>28974</v>
      </c>
      <c r="E17" s="2">
        <v>31320</v>
      </c>
      <c r="F17" s="2">
        <v>34296</v>
      </c>
      <c r="G17" s="2">
        <v>36249</v>
      </c>
      <c r="H17" s="2">
        <v>33700</v>
      </c>
      <c r="I17" s="2">
        <v>34949</v>
      </c>
      <c r="J17" s="2">
        <v>37726</v>
      </c>
      <c r="K17" s="2">
        <v>38117</v>
      </c>
    </row>
    <row r="18" spans="1:11" x14ac:dyDescent="0.25">
      <c r="A18" s="1" t="s">
        <v>9</v>
      </c>
      <c r="B18" s="2">
        <v>17400</v>
      </c>
      <c r="C18" s="2">
        <v>18842</v>
      </c>
      <c r="D18" s="2">
        <v>17267</v>
      </c>
      <c r="E18" s="2">
        <v>22184</v>
      </c>
      <c r="F18" s="2">
        <v>28253</v>
      </c>
      <c r="G18" s="2">
        <v>25148</v>
      </c>
      <c r="H18" s="2">
        <v>25516</v>
      </c>
      <c r="I18" s="2">
        <v>29684</v>
      </c>
      <c r="J18" s="2">
        <v>30456</v>
      </c>
      <c r="K18" s="2">
        <v>36377</v>
      </c>
    </row>
    <row r="19" spans="1:11" x14ac:dyDescent="0.25">
      <c r="A19" s="4" t="s">
        <v>83</v>
      </c>
      <c r="B19" s="5">
        <f>+SUM(B14:B18)</f>
        <v>99600</v>
      </c>
      <c r="C19" s="5">
        <f t="shared" ref="C19:I19" si="3">+SUM(C14:C18)</f>
        <v>96158</v>
      </c>
      <c r="D19" s="5">
        <f t="shared" si="3"/>
        <v>99936</v>
      </c>
      <c r="E19" s="5">
        <f t="shared" si="3"/>
        <v>130468</v>
      </c>
      <c r="F19" s="5">
        <f t="shared" si="3"/>
        <v>143981</v>
      </c>
      <c r="G19" s="5">
        <f t="shared" si="3"/>
        <v>147131</v>
      </c>
      <c r="H19" s="5">
        <f t="shared" si="3"/>
        <v>135355</v>
      </c>
      <c r="I19" s="5">
        <f t="shared" si="3"/>
        <v>149998</v>
      </c>
      <c r="J19" s="5">
        <f>+SUM(J14:J18)</f>
        <v>160567</v>
      </c>
      <c r="K19" s="5">
        <f>+SUM(K14:K18)</f>
        <v>176040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model</vt:lpstr>
      <vt:lpstr>deliveries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alexandreduartemorais@gmail.com</dc:creator>
  <cp:lastModifiedBy>Alexandre Duarte Morais</cp:lastModifiedBy>
  <dcterms:created xsi:type="dcterms:W3CDTF">2024-09-01T16:48:52Z</dcterms:created>
  <dcterms:modified xsi:type="dcterms:W3CDTF">2025-02-19T10:13:08Z</dcterms:modified>
</cp:coreProperties>
</file>