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490" documentId="8_{8C99461C-2F5B-4EDC-8625-1AFEB10FA6A6}" xr6:coauthVersionLast="47" xr6:coauthVersionMax="47" xr10:uidLastSave="{8887C553-16C5-46F0-A210-2DE169FC965B}"/>
  <bookViews>
    <workbookView xWindow="-120" yWindow="-120" windowWidth="29040" windowHeight="15720" activeTab="1" xr2:uid="{F3C0C6AA-A76D-4012-9D6C-F47771DCEFC2}"/>
  </bookViews>
  <sheets>
    <sheet name="main" sheetId="1" r:id="rId1"/>
    <sheet name="model" sheetId="2" r:id="rId2"/>
    <sheet name="store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2" l="1"/>
  <c r="Y11" i="2" s="1"/>
  <c r="Y10" i="2"/>
  <c r="Z10" i="2" s="1"/>
  <c r="AA10" i="2" s="1"/>
  <c r="AB10" i="2" s="1"/>
  <c r="AC10" i="2" s="1"/>
  <c r="AD10" i="2" s="1"/>
  <c r="X10" i="2"/>
  <c r="S42" i="2"/>
  <c r="S41" i="2"/>
  <c r="S40" i="2"/>
  <c r="S39" i="2"/>
  <c r="S34" i="2"/>
  <c r="S33" i="2"/>
  <c r="S37" i="2"/>
  <c r="S36" i="2"/>
  <c r="S35" i="2"/>
  <c r="S31" i="2"/>
  <c r="S30" i="2"/>
  <c r="S29" i="2"/>
  <c r="R29" i="2"/>
  <c r="O46" i="2"/>
  <c r="O45" i="2"/>
  <c r="O44" i="2"/>
  <c r="S21" i="2"/>
  <c r="S18" i="2"/>
  <c r="S16" i="2"/>
  <c r="R16" i="2"/>
  <c r="S49" i="2"/>
  <c r="S47" i="2"/>
  <c r="S46" i="2"/>
  <c r="S45" i="2"/>
  <c r="S44" i="2"/>
  <c r="W47" i="2"/>
  <c r="J12" i="3"/>
  <c r="J11" i="3"/>
  <c r="I11" i="3"/>
  <c r="H11" i="3"/>
  <c r="J9" i="3"/>
  <c r="I9" i="3"/>
  <c r="H9" i="3"/>
  <c r="J8" i="3"/>
  <c r="J7" i="3"/>
  <c r="J6" i="3"/>
  <c r="J5" i="3"/>
  <c r="J4" i="3"/>
  <c r="J3" i="3"/>
  <c r="J2" i="3"/>
  <c r="C30" i="3"/>
  <c r="C29" i="3"/>
  <c r="C28" i="3"/>
  <c r="B30" i="3"/>
  <c r="B29" i="3"/>
  <c r="B28" i="3"/>
  <c r="D25" i="3"/>
  <c r="D24" i="3"/>
  <c r="C24" i="3"/>
  <c r="B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X22" i="2"/>
  <c r="X14" i="2"/>
  <c r="X37" i="2" s="1"/>
  <c r="AC12" i="2"/>
  <c r="AD12" i="2" s="1"/>
  <c r="AB12" i="2"/>
  <c r="Z12" i="2"/>
  <c r="Y12" i="2"/>
  <c r="AH5" i="2"/>
  <c r="W39" i="2"/>
  <c r="V39" i="2"/>
  <c r="Y26" i="2"/>
  <c r="Z26" i="2" s="1"/>
  <c r="AA26" i="2" s="1"/>
  <c r="AB26" i="2" s="1"/>
  <c r="AC26" i="2" s="1"/>
  <c r="AD26" i="2" s="1"/>
  <c r="X26" i="2"/>
  <c r="Y13" i="2"/>
  <c r="Z13" i="2" s="1"/>
  <c r="X13" i="2"/>
  <c r="X12" i="2"/>
  <c r="AD31" i="2"/>
  <c r="AD30" i="2"/>
  <c r="AD29" i="2"/>
  <c r="P20" i="2"/>
  <c r="W37" i="2"/>
  <c r="V37" i="2"/>
  <c r="X36" i="2"/>
  <c r="W36" i="2"/>
  <c r="V36" i="2"/>
  <c r="W35" i="2"/>
  <c r="V35" i="2"/>
  <c r="W34" i="2"/>
  <c r="V34" i="2"/>
  <c r="W33" i="2"/>
  <c r="V33" i="2"/>
  <c r="W31" i="2"/>
  <c r="V31" i="2"/>
  <c r="W30" i="2"/>
  <c r="V30" i="2"/>
  <c r="V29" i="2"/>
  <c r="W29" i="2"/>
  <c r="W20" i="2"/>
  <c r="V20" i="2"/>
  <c r="U20" i="2"/>
  <c r="U47" i="2"/>
  <c r="U16" i="2"/>
  <c r="U18" i="2" s="1"/>
  <c r="Y1" i="2"/>
  <c r="Z1" i="2" s="1"/>
  <c r="AA1" i="2" s="1"/>
  <c r="AB1" i="2" s="1"/>
  <c r="AC1" i="2" s="1"/>
  <c r="X1" i="2"/>
  <c r="AC47" i="2"/>
  <c r="AC31" i="2"/>
  <c r="AC30" i="2"/>
  <c r="AC29" i="2"/>
  <c r="AB47" i="2"/>
  <c r="AB31" i="2"/>
  <c r="AB30" i="2"/>
  <c r="AB29" i="2"/>
  <c r="AA47" i="2"/>
  <c r="AA31" i="2"/>
  <c r="AA30" i="2"/>
  <c r="AA29" i="2"/>
  <c r="Z47" i="2"/>
  <c r="Z31" i="2"/>
  <c r="Z30" i="2"/>
  <c r="Z29" i="2"/>
  <c r="Y47" i="2"/>
  <c r="Y31" i="2"/>
  <c r="Y30" i="2"/>
  <c r="Y29" i="2"/>
  <c r="X47" i="2"/>
  <c r="X31" i="2"/>
  <c r="X30" i="2"/>
  <c r="X29" i="2"/>
  <c r="W16" i="2"/>
  <c r="W18" i="2" s="1"/>
  <c r="V47" i="2"/>
  <c r="V16" i="2"/>
  <c r="V18" i="2" s="1"/>
  <c r="Q31" i="2"/>
  <c r="P31" i="2"/>
  <c r="O31" i="2"/>
  <c r="N31" i="2"/>
  <c r="M31" i="2"/>
  <c r="L31" i="2"/>
  <c r="K31" i="2"/>
  <c r="J31" i="2"/>
  <c r="I31" i="2"/>
  <c r="H31" i="2"/>
  <c r="G31" i="2"/>
  <c r="F31" i="2"/>
  <c r="Q30" i="2"/>
  <c r="P30" i="2"/>
  <c r="O30" i="2"/>
  <c r="N30" i="2"/>
  <c r="M30" i="2"/>
  <c r="L30" i="2"/>
  <c r="K30" i="2"/>
  <c r="J30" i="2"/>
  <c r="I30" i="2"/>
  <c r="H30" i="2"/>
  <c r="G30" i="2"/>
  <c r="F30" i="2"/>
  <c r="Q29" i="2"/>
  <c r="P29" i="2"/>
  <c r="O29" i="2"/>
  <c r="N29" i="2"/>
  <c r="M29" i="2"/>
  <c r="L29" i="2"/>
  <c r="K29" i="2"/>
  <c r="J29" i="2"/>
  <c r="I29" i="2"/>
  <c r="H29" i="2"/>
  <c r="G29" i="2"/>
  <c r="F29" i="2"/>
  <c r="R31" i="2"/>
  <c r="R30" i="2"/>
  <c r="Q37" i="2"/>
  <c r="P37" i="2"/>
  <c r="O37" i="2"/>
  <c r="N37" i="2"/>
  <c r="M37" i="2"/>
  <c r="L37" i="2"/>
  <c r="K37" i="2"/>
  <c r="J37" i="2"/>
  <c r="I37" i="2"/>
  <c r="H37" i="2"/>
  <c r="G37" i="2"/>
  <c r="F37" i="2"/>
  <c r="Q36" i="2"/>
  <c r="P36" i="2"/>
  <c r="O36" i="2"/>
  <c r="N36" i="2"/>
  <c r="M36" i="2"/>
  <c r="L36" i="2"/>
  <c r="K36" i="2"/>
  <c r="J36" i="2"/>
  <c r="I36" i="2"/>
  <c r="H36" i="2"/>
  <c r="G36" i="2"/>
  <c r="F36" i="2"/>
  <c r="Q35" i="2"/>
  <c r="P35" i="2"/>
  <c r="O35" i="2"/>
  <c r="N35" i="2"/>
  <c r="M35" i="2"/>
  <c r="L35" i="2"/>
  <c r="K35" i="2"/>
  <c r="J35" i="2"/>
  <c r="I35" i="2"/>
  <c r="H35" i="2"/>
  <c r="G35" i="2"/>
  <c r="F35" i="2"/>
  <c r="Q34" i="2"/>
  <c r="P34" i="2"/>
  <c r="O34" i="2"/>
  <c r="N34" i="2"/>
  <c r="M34" i="2"/>
  <c r="L34" i="2"/>
  <c r="K34" i="2"/>
  <c r="J34" i="2"/>
  <c r="I34" i="2"/>
  <c r="H34" i="2"/>
  <c r="G34" i="2"/>
  <c r="F34" i="2"/>
  <c r="Q33" i="2"/>
  <c r="P33" i="2"/>
  <c r="O33" i="2"/>
  <c r="N33" i="2"/>
  <c r="M33" i="2"/>
  <c r="L33" i="2"/>
  <c r="K33" i="2"/>
  <c r="J33" i="2"/>
  <c r="I33" i="2"/>
  <c r="H33" i="2"/>
  <c r="G33" i="2"/>
  <c r="F33" i="2"/>
  <c r="R37" i="2"/>
  <c r="R36" i="2"/>
  <c r="R35" i="2"/>
  <c r="R34" i="2"/>
  <c r="R33" i="2"/>
  <c r="Q16" i="2"/>
  <c r="P16" i="2"/>
  <c r="P18" i="2" s="1"/>
  <c r="P40" i="2" s="1"/>
  <c r="O16" i="2"/>
  <c r="N16" i="2"/>
  <c r="M16" i="2"/>
  <c r="L16" i="2"/>
  <c r="L18" i="2" s="1"/>
  <c r="L21" i="2" s="1"/>
  <c r="K16" i="2"/>
  <c r="J16" i="2"/>
  <c r="J18" i="2" s="1"/>
  <c r="J21" i="2" s="1"/>
  <c r="I16" i="2"/>
  <c r="H16" i="2"/>
  <c r="H18" i="2" s="1"/>
  <c r="H40" i="2" s="1"/>
  <c r="G16" i="2"/>
  <c r="G18" i="2" s="1"/>
  <c r="G40" i="2" s="1"/>
  <c r="F16" i="2"/>
  <c r="E16" i="2"/>
  <c r="E18" i="2" s="1"/>
  <c r="E21" i="2" s="1"/>
  <c r="D16" i="2"/>
  <c r="D18" i="2" s="1"/>
  <c r="D40" i="2" s="1"/>
  <c r="C16" i="2"/>
  <c r="C18" i="2" s="1"/>
  <c r="C40" i="2" s="1"/>
  <c r="B16" i="2"/>
  <c r="R18" i="2"/>
  <c r="R21" i="2" s="1"/>
  <c r="Q47" i="2"/>
  <c r="P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R47" i="2"/>
  <c r="F18" i="2"/>
  <c r="F21" i="2" s="1"/>
  <c r="B3" i="1"/>
  <c r="B4" i="1" s="1"/>
  <c r="B7" i="1" s="1"/>
  <c r="Y34" i="2" l="1"/>
  <c r="Z11" i="2"/>
  <c r="AA11" i="2" s="1"/>
  <c r="AB11" i="2" s="1"/>
  <c r="AC11" i="2" s="1"/>
  <c r="AD11" i="2" s="1"/>
  <c r="X34" i="2"/>
  <c r="O18" i="2"/>
  <c r="O40" i="2" s="1"/>
  <c r="O47" i="2"/>
  <c r="O49" i="2" s="1"/>
  <c r="S23" i="2"/>
  <c r="S25" i="2" s="1"/>
  <c r="Y14" i="2"/>
  <c r="Z14" i="2" s="1"/>
  <c r="AA14" i="2" s="1"/>
  <c r="AB14" i="2" s="1"/>
  <c r="AC14" i="2" s="1"/>
  <c r="AD14" i="2" s="1"/>
  <c r="Z35" i="2"/>
  <c r="AA12" i="2"/>
  <c r="AC35" i="2" s="1"/>
  <c r="X33" i="2"/>
  <c r="Y37" i="2"/>
  <c r="Z37" i="2"/>
  <c r="AA13" i="2"/>
  <c r="Z36" i="2"/>
  <c r="Y36" i="2"/>
  <c r="Y35" i="2"/>
  <c r="X35" i="2"/>
  <c r="X16" i="2"/>
  <c r="Y16" i="2"/>
  <c r="Y33" i="2"/>
  <c r="U21" i="2"/>
  <c r="U40" i="2"/>
  <c r="W21" i="2"/>
  <c r="W40" i="2"/>
  <c r="V21" i="2"/>
  <c r="V40" i="2"/>
  <c r="F39" i="2"/>
  <c r="M39" i="2"/>
  <c r="M18" i="2"/>
  <c r="M21" i="2" s="1"/>
  <c r="M41" i="2" s="1"/>
  <c r="J39" i="2"/>
  <c r="G39" i="2"/>
  <c r="O39" i="2"/>
  <c r="B18" i="2"/>
  <c r="B21" i="2" s="1"/>
  <c r="B41" i="2" s="1"/>
  <c r="I39" i="2"/>
  <c r="Q39" i="2"/>
  <c r="K39" i="2"/>
  <c r="Q18" i="2"/>
  <c r="Q21" i="2" s="1"/>
  <c r="Q41" i="2" s="1"/>
  <c r="I18" i="2"/>
  <c r="I21" i="2" s="1"/>
  <c r="I41" i="2" s="1"/>
  <c r="N39" i="2"/>
  <c r="R39" i="2"/>
  <c r="N18" i="2"/>
  <c r="N21" i="2" s="1"/>
  <c r="N23" i="2" s="1"/>
  <c r="N25" i="2" s="1"/>
  <c r="L39" i="2"/>
  <c r="K18" i="2"/>
  <c r="K40" i="2" s="1"/>
  <c r="H39" i="2"/>
  <c r="P39" i="2"/>
  <c r="H49" i="2"/>
  <c r="C21" i="2"/>
  <c r="C41" i="2" s="1"/>
  <c r="F49" i="2"/>
  <c r="N49" i="2"/>
  <c r="G49" i="2"/>
  <c r="I49" i="2"/>
  <c r="Q49" i="2"/>
  <c r="E49" i="2"/>
  <c r="M49" i="2"/>
  <c r="R40" i="2"/>
  <c r="J40" i="2"/>
  <c r="K49" i="2"/>
  <c r="L49" i="2"/>
  <c r="R23" i="2"/>
  <c r="R25" i="2" s="1"/>
  <c r="R41" i="2"/>
  <c r="L23" i="2"/>
  <c r="L25" i="2" s="1"/>
  <c r="L41" i="2"/>
  <c r="E23" i="2"/>
  <c r="E25" i="2" s="1"/>
  <c r="E41" i="2"/>
  <c r="F41" i="2"/>
  <c r="F23" i="2"/>
  <c r="F25" i="2" s="1"/>
  <c r="J23" i="2"/>
  <c r="J25" i="2" s="1"/>
  <c r="J41" i="2"/>
  <c r="G21" i="2"/>
  <c r="E40" i="2"/>
  <c r="J49" i="2"/>
  <c r="L40" i="2"/>
  <c r="H21" i="2"/>
  <c r="P21" i="2"/>
  <c r="F40" i="2"/>
  <c r="D21" i="2"/>
  <c r="AB34" i="2" l="1"/>
  <c r="Z34" i="2"/>
  <c r="AA34" i="2"/>
  <c r="O21" i="2"/>
  <c r="O41" i="2" s="1"/>
  <c r="R49" i="2"/>
  <c r="P49" i="2"/>
  <c r="S27" i="2"/>
  <c r="Z16" i="2"/>
  <c r="Z24" i="2" s="1"/>
  <c r="Z33" i="2"/>
  <c r="AD35" i="2"/>
  <c r="AB35" i="2"/>
  <c r="AA35" i="2"/>
  <c r="Y39" i="2"/>
  <c r="Y17" i="2"/>
  <c r="Y18" i="2" s="1"/>
  <c r="Y19" i="2"/>
  <c r="Y24" i="2"/>
  <c r="X39" i="2"/>
  <c r="X17" i="2"/>
  <c r="X18" i="2" s="1"/>
  <c r="X19" i="2"/>
  <c r="X24" i="2"/>
  <c r="AA37" i="2"/>
  <c r="AB13" i="2"/>
  <c r="AA36" i="2"/>
  <c r="AC34" i="2"/>
  <c r="AA16" i="2"/>
  <c r="AA33" i="2"/>
  <c r="U23" i="2"/>
  <c r="U25" i="2" s="1"/>
  <c r="U41" i="2"/>
  <c r="W23" i="2"/>
  <c r="W25" i="2" s="1"/>
  <c r="W41" i="2"/>
  <c r="V41" i="2"/>
  <c r="V23" i="2"/>
  <c r="V25" i="2" s="1"/>
  <c r="B40" i="2"/>
  <c r="C23" i="2"/>
  <c r="C25" i="2" s="1"/>
  <c r="C42" i="2" s="1"/>
  <c r="Q40" i="2"/>
  <c r="M23" i="2"/>
  <c r="M25" i="2" s="1"/>
  <c r="M42" i="2" s="1"/>
  <c r="M40" i="2"/>
  <c r="I40" i="2"/>
  <c r="B23" i="2"/>
  <c r="B25" i="2" s="1"/>
  <c r="B27" i="2" s="1"/>
  <c r="I23" i="2"/>
  <c r="I25" i="2" s="1"/>
  <c r="I27" i="2" s="1"/>
  <c r="Q23" i="2"/>
  <c r="Q25" i="2" s="1"/>
  <c r="Q42" i="2" s="1"/>
  <c r="N41" i="2"/>
  <c r="N40" i="2"/>
  <c r="K21" i="2"/>
  <c r="K41" i="2" s="1"/>
  <c r="R27" i="2"/>
  <c r="R42" i="2"/>
  <c r="J27" i="2"/>
  <c r="J42" i="2"/>
  <c r="P41" i="2"/>
  <c r="P23" i="2"/>
  <c r="P25" i="2" s="1"/>
  <c r="G41" i="2"/>
  <c r="G23" i="2"/>
  <c r="G25" i="2" s="1"/>
  <c r="N42" i="2"/>
  <c r="N27" i="2"/>
  <c r="H41" i="2"/>
  <c r="H23" i="2"/>
  <c r="H25" i="2" s="1"/>
  <c r="E42" i="2"/>
  <c r="E27" i="2"/>
  <c r="D23" i="2"/>
  <c r="D25" i="2" s="1"/>
  <c r="D41" i="2"/>
  <c r="L42" i="2"/>
  <c r="L27" i="2"/>
  <c r="F42" i="2"/>
  <c r="F27" i="2"/>
  <c r="O23" i="2" l="1"/>
  <c r="O25" i="2" s="1"/>
  <c r="O42" i="2" s="1"/>
  <c r="Z17" i="2"/>
  <c r="Z18" i="2" s="1"/>
  <c r="Z21" i="2" s="1"/>
  <c r="Z19" i="2"/>
  <c r="Z39" i="2"/>
  <c r="Y21" i="2"/>
  <c r="Y40" i="2"/>
  <c r="X21" i="2"/>
  <c r="X40" i="2"/>
  <c r="AA19" i="2"/>
  <c r="AA24" i="2"/>
  <c r="AA39" i="2"/>
  <c r="AA17" i="2"/>
  <c r="AA18" i="2" s="1"/>
  <c r="AB37" i="2"/>
  <c r="AB36" i="2"/>
  <c r="AC13" i="2"/>
  <c r="AD34" i="2"/>
  <c r="AD33" i="2"/>
  <c r="AB16" i="2"/>
  <c r="AB33" i="2"/>
  <c r="U42" i="2"/>
  <c r="U27" i="2"/>
  <c r="W42" i="2"/>
  <c r="W27" i="2"/>
  <c r="V27" i="2"/>
  <c r="V42" i="2"/>
  <c r="C27" i="2"/>
  <c r="M27" i="2"/>
  <c r="I42" i="2"/>
  <c r="B42" i="2"/>
  <c r="Q27" i="2"/>
  <c r="K23" i="2"/>
  <c r="K25" i="2" s="1"/>
  <c r="K42" i="2" s="1"/>
  <c r="D42" i="2"/>
  <c r="D27" i="2"/>
  <c r="P42" i="2"/>
  <c r="P27" i="2"/>
  <c r="G42" i="2"/>
  <c r="G27" i="2"/>
  <c r="H42" i="2"/>
  <c r="H27" i="2"/>
  <c r="O27" i="2" l="1"/>
  <c r="Z40" i="2"/>
  <c r="Z41" i="2"/>
  <c r="X41" i="2"/>
  <c r="X23" i="2"/>
  <c r="X25" i="2" s="1"/>
  <c r="X51" i="2" s="1"/>
  <c r="AB24" i="2"/>
  <c r="AB39" i="2"/>
  <c r="AB17" i="2"/>
  <c r="AB18" i="2" s="1"/>
  <c r="AB19" i="2"/>
  <c r="Y41" i="2"/>
  <c r="AD37" i="2"/>
  <c r="AC37" i="2"/>
  <c r="AD13" i="2"/>
  <c r="AC36" i="2"/>
  <c r="AC16" i="2"/>
  <c r="AC33" i="2"/>
  <c r="AA21" i="2"/>
  <c r="AA40" i="2"/>
  <c r="K27" i="2"/>
  <c r="Y22" i="2" l="1"/>
  <c r="Y23" i="2" s="1"/>
  <c r="Y25" i="2" s="1"/>
  <c r="Y27" i="2" s="1"/>
  <c r="AC39" i="2"/>
  <c r="AC17" i="2"/>
  <c r="AC18" i="2" s="1"/>
  <c r="AC19" i="2"/>
  <c r="AC24" i="2"/>
  <c r="X27" i="2"/>
  <c r="X42" i="2"/>
  <c r="AD36" i="2"/>
  <c r="AD16" i="2"/>
  <c r="AA41" i="2"/>
  <c r="AB21" i="2"/>
  <c r="AB40" i="2"/>
  <c r="Y51" i="2" l="1"/>
  <c r="Y42" i="2"/>
  <c r="AD39" i="2"/>
  <c r="AD17" i="2"/>
  <c r="AD18" i="2" s="1"/>
  <c r="AD19" i="2"/>
  <c r="AD24" i="2"/>
  <c r="AC21" i="2"/>
  <c r="AC40" i="2"/>
  <c r="AB41" i="2"/>
  <c r="Z22" i="2" l="1"/>
  <c r="Z23" i="2" s="1"/>
  <c r="Z25" i="2" s="1"/>
  <c r="AD21" i="2"/>
  <c r="AD40" i="2"/>
  <c r="AC41" i="2"/>
  <c r="Z42" i="2" l="1"/>
  <c r="Z27" i="2"/>
  <c r="Z51" i="2"/>
  <c r="AD41" i="2"/>
  <c r="AA22" i="2" l="1"/>
  <c r="AA23" i="2" s="1"/>
  <c r="AA25" i="2" s="1"/>
  <c r="AA51" i="2" s="1"/>
  <c r="AB22" i="2" l="1"/>
  <c r="AB23" i="2" s="1"/>
  <c r="AB25" i="2" s="1"/>
  <c r="AB51" i="2" s="1"/>
  <c r="AA42" i="2"/>
  <c r="AA27" i="2"/>
  <c r="AC22" i="2" l="1"/>
  <c r="AC23" i="2" s="1"/>
  <c r="AC25" i="2" s="1"/>
  <c r="AC51" i="2" s="1"/>
  <c r="AB42" i="2"/>
  <c r="AB27" i="2"/>
  <c r="AD22" i="2" l="1"/>
  <c r="AD23" i="2" s="1"/>
  <c r="AD25" i="2" s="1"/>
  <c r="AD51" i="2" s="1"/>
  <c r="AC27" i="2"/>
  <c r="AC42" i="2"/>
  <c r="AE25" i="2" l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AH4" i="2" s="1"/>
  <c r="AH6" i="2" s="1"/>
  <c r="AH7" i="2" s="1"/>
  <c r="AD27" i="2"/>
  <c r="AD42" i="2"/>
</calcChain>
</file>

<file path=xl/sharedStrings.xml><?xml version="1.0" encoding="utf-8"?>
<sst xmlns="http://schemas.openxmlformats.org/spreadsheetml/2006/main" count="139" uniqueCount="125">
  <si>
    <t>ticket</t>
  </si>
  <si>
    <t>price</t>
  </si>
  <si>
    <t>shares</t>
  </si>
  <si>
    <t>mc</t>
  </si>
  <si>
    <t>cash</t>
  </si>
  <si>
    <t>debt</t>
  </si>
  <si>
    <t>ev</t>
  </si>
  <si>
    <t>lulu</t>
  </si>
  <si>
    <t>Q1 2020</t>
  </si>
  <si>
    <t>Q1 2021</t>
  </si>
  <si>
    <t>Q1 2022</t>
  </si>
  <si>
    <t>Q1 2023</t>
  </si>
  <si>
    <t>Q1 2024</t>
  </si>
  <si>
    <t>Revenue</t>
  </si>
  <si>
    <t>COGS</t>
  </si>
  <si>
    <t>Gross Profit</t>
  </si>
  <si>
    <t>S,G&amp;A</t>
  </si>
  <si>
    <t>Amortization</t>
  </si>
  <si>
    <t>Operating Income</t>
  </si>
  <si>
    <t>Other Income</t>
  </si>
  <si>
    <t>Pretax Income</t>
  </si>
  <si>
    <t>Taxes</t>
  </si>
  <si>
    <t>Net Income</t>
  </si>
  <si>
    <t>Shares</t>
  </si>
  <si>
    <t>EPS</t>
  </si>
  <si>
    <t>Revenue Y/Y</t>
  </si>
  <si>
    <t>GM%</t>
  </si>
  <si>
    <t>OM%</t>
  </si>
  <si>
    <t>NM%</t>
  </si>
  <si>
    <t xml:space="preserve">CFFO </t>
  </si>
  <si>
    <t>CAPEX</t>
  </si>
  <si>
    <t>SBC</t>
  </si>
  <si>
    <t>FCF</t>
  </si>
  <si>
    <t>FCF TTM</t>
  </si>
  <si>
    <t>net cash</t>
  </si>
  <si>
    <t>US</t>
  </si>
  <si>
    <t>Canada</t>
  </si>
  <si>
    <t>China Mainland</t>
  </si>
  <si>
    <t>HK, Taiwan &amp; Macau</t>
  </si>
  <si>
    <t>Other Areas</t>
  </si>
  <si>
    <t>US Y/Y</t>
  </si>
  <si>
    <t>Canada Y/Y</t>
  </si>
  <si>
    <t>China Mainland Y/Y</t>
  </si>
  <si>
    <t>HK, Taiwan &amp; Macau Y/Y</t>
  </si>
  <si>
    <t>Other Areas Y/Y</t>
  </si>
  <si>
    <t>Company Operated stores</t>
  </si>
  <si>
    <t>E-commerce</t>
  </si>
  <si>
    <t>Other</t>
  </si>
  <si>
    <t>Women's products</t>
  </si>
  <si>
    <t>Men's products</t>
  </si>
  <si>
    <t>Other Categories</t>
  </si>
  <si>
    <t>lululemon athletica inc. is principally a designer, distributor, and retailer of technical athletic apparel, footwear, and accessories</t>
  </si>
  <si>
    <t>Q4 2023</t>
  </si>
  <si>
    <t>Q2 2023</t>
  </si>
  <si>
    <t>Q3 2023</t>
  </si>
  <si>
    <t>Q2 2022</t>
  </si>
  <si>
    <t>Q3 2022</t>
  </si>
  <si>
    <t>Q4 2022</t>
  </si>
  <si>
    <t>Q2 2021</t>
  </si>
  <si>
    <t>Q3 2021</t>
  </si>
  <si>
    <t>Q4 2021</t>
  </si>
  <si>
    <t>Q2 2020</t>
  </si>
  <si>
    <t>Q3 2020</t>
  </si>
  <si>
    <t>Q4 2020</t>
  </si>
  <si>
    <t>NPV</t>
  </si>
  <si>
    <t>Discount</t>
  </si>
  <si>
    <t>Maturity</t>
  </si>
  <si>
    <t>Net Cash</t>
  </si>
  <si>
    <t>EV</t>
  </si>
  <si>
    <t>Price</t>
  </si>
  <si>
    <t>Australia</t>
  </si>
  <si>
    <t>South Korea</t>
  </si>
  <si>
    <t>Hong Kong</t>
  </si>
  <si>
    <t>Japan</t>
  </si>
  <si>
    <t>New Zeland</t>
  </si>
  <si>
    <t>Taiwan</t>
  </si>
  <si>
    <t>Singapore</t>
  </si>
  <si>
    <t>Malaysia</t>
  </si>
  <si>
    <t>Macau</t>
  </si>
  <si>
    <t>Thailand</t>
  </si>
  <si>
    <t>UK</t>
  </si>
  <si>
    <t>Germany</t>
  </si>
  <si>
    <t>France</t>
  </si>
  <si>
    <t>Ireland</t>
  </si>
  <si>
    <t>Spain</t>
  </si>
  <si>
    <t>Netherlands</t>
  </si>
  <si>
    <t>Sweden</t>
  </si>
  <si>
    <t>Norway</t>
  </si>
  <si>
    <t>Switzerland</t>
  </si>
  <si>
    <t>Delta</t>
  </si>
  <si>
    <t>Total</t>
  </si>
  <si>
    <t>Revenue per store</t>
  </si>
  <si>
    <t>China</t>
  </si>
  <si>
    <t>Stores Operated by third parties</t>
  </si>
  <si>
    <t>Mexico</t>
  </si>
  <si>
    <t>UAE</t>
  </si>
  <si>
    <t>Saudi Arabia</t>
  </si>
  <si>
    <t>Israel</t>
  </si>
  <si>
    <t>Kuwait</t>
  </si>
  <si>
    <t>Qatar</t>
  </si>
  <si>
    <t>Bahrain</t>
  </si>
  <si>
    <t>Total Stores</t>
  </si>
  <si>
    <t>Competitors</t>
  </si>
  <si>
    <t>Nike</t>
  </si>
  <si>
    <t>Adidas</t>
  </si>
  <si>
    <t>PUMA</t>
  </si>
  <si>
    <t>Under Armour</t>
  </si>
  <si>
    <t>Columbia</t>
  </si>
  <si>
    <t>The GAP</t>
  </si>
  <si>
    <t>Victoria's Secret</t>
  </si>
  <si>
    <t>Urban Outfitters</t>
  </si>
  <si>
    <t>NOTES</t>
  </si>
  <si>
    <t>annual net revenue is typically weighted more heavily toward our fourth fiscal quarter</t>
  </si>
  <si>
    <t>38000 employees</t>
  </si>
  <si>
    <t>employees</t>
  </si>
  <si>
    <t>Cloud Service Provider -&gt; AWS</t>
  </si>
  <si>
    <t>HQ</t>
  </si>
  <si>
    <t>1818 Cornwall Avenue, Vancouver, British Columbia, Canada, V6J 1C7.</t>
  </si>
  <si>
    <t>CEO</t>
  </si>
  <si>
    <t>Founded</t>
  </si>
  <si>
    <t>Founder</t>
  </si>
  <si>
    <t> Chip Wilson</t>
  </si>
  <si>
    <t>Calvin McDonald</t>
  </si>
  <si>
    <t>main</t>
  </si>
  <si>
    <t>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</si>
</sst>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_ ;\-#,##0\ 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2" fillId="0" borderId="0" xfId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9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3" fontId="3" fillId="0" borderId="0" xfId="0" applyNumberFormat="1" applyFont="1"/>
    <xf numFmtId="10" fontId="4" fillId="0" borderId="0" xfId="0" applyNumberFormat="1" applyFont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28575</xdr:rowOff>
    </xdr:from>
    <xdr:to>
      <xdr:col>23</xdr:col>
      <xdr:colOff>19050</xdr:colOff>
      <xdr:row>53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E3D456-EF7F-5B7B-BEF0-5E601E05323B}"/>
            </a:ext>
          </a:extLst>
        </xdr:cNvPr>
        <xdr:cNvCxnSpPr/>
      </xdr:nvCxnSpPr>
      <xdr:spPr>
        <a:xfrm>
          <a:off x="15039975" y="28575"/>
          <a:ext cx="0" cy="102203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19050</xdr:colOff>
      <xdr:row>55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840342-604C-4F32-8E1F-F20D8FCD9AF3}"/>
            </a:ext>
          </a:extLst>
        </xdr:cNvPr>
        <xdr:cNvCxnSpPr/>
      </xdr:nvCxnSpPr>
      <xdr:spPr>
        <a:xfrm>
          <a:off x="12753975" y="0"/>
          <a:ext cx="9525" cy="89344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D854-9B14-42CD-818C-C2FF0D3CB879}">
  <dimension ref="A1:E13"/>
  <sheetViews>
    <sheetView workbookViewId="0"/>
  </sheetViews>
  <sheetFormatPr defaultRowHeight="15" x14ac:dyDescent="0.25"/>
  <cols>
    <col min="5" max="5" width="15.7109375" customWidth="1"/>
  </cols>
  <sheetData>
    <row r="1" spans="1:5" x14ac:dyDescent="0.25">
      <c r="A1" t="s">
        <v>0</v>
      </c>
      <c r="B1" t="s">
        <v>7</v>
      </c>
    </row>
    <row r="2" spans="1:5" x14ac:dyDescent="0.25">
      <c r="A2" t="s">
        <v>1</v>
      </c>
      <c r="B2">
        <v>251</v>
      </c>
      <c r="D2" t="s">
        <v>116</v>
      </c>
      <c r="E2" t="s">
        <v>117</v>
      </c>
    </row>
    <row r="3" spans="1:5" x14ac:dyDescent="0.25">
      <c r="A3" t="s">
        <v>2</v>
      </c>
      <c r="B3">
        <f>119.886401+5.115961</f>
        <v>125.00236200000001</v>
      </c>
      <c r="E3" s="3"/>
    </row>
    <row r="4" spans="1:5" x14ac:dyDescent="0.25">
      <c r="A4" t="s">
        <v>3</v>
      </c>
      <c r="B4" s="1">
        <f>+B2*B3</f>
        <v>31375.592862000001</v>
      </c>
      <c r="D4" t="s">
        <v>118</v>
      </c>
      <c r="E4" t="s">
        <v>122</v>
      </c>
    </row>
    <row r="5" spans="1:5" x14ac:dyDescent="0.25">
      <c r="A5" t="s">
        <v>4</v>
      </c>
      <c r="B5" s="1">
        <v>1900</v>
      </c>
      <c r="D5" t="s">
        <v>119</v>
      </c>
      <c r="E5" s="3">
        <v>1998</v>
      </c>
    </row>
    <row r="6" spans="1:5" x14ac:dyDescent="0.25">
      <c r="A6" t="s">
        <v>5</v>
      </c>
      <c r="B6" s="1">
        <v>0</v>
      </c>
      <c r="D6" t="s">
        <v>120</v>
      </c>
      <c r="E6" t="s">
        <v>121</v>
      </c>
    </row>
    <row r="7" spans="1:5" x14ac:dyDescent="0.25">
      <c r="A7" t="s">
        <v>6</v>
      </c>
      <c r="B7" s="1">
        <f>+B4-B5</f>
        <v>29475.592862000001</v>
      </c>
    </row>
    <row r="9" spans="1:5" x14ac:dyDescent="0.25">
      <c r="A9" t="s">
        <v>111</v>
      </c>
    </row>
    <row r="10" spans="1:5" x14ac:dyDescent="0.25">
      <c r="A10" t="s">
        <v>51</v>
      </c>
    </row>
    <row r="11" spans="1:5" x14ac:dyDescent="0.25">
      <c r="A11" t="s">
        <v>112</v>
      </c>
    </row>
    <row r="12" spans="1:5" x14ac:dyDescent="0.25">
      <c r="A12" t="s">
        <v>113</v>
      </c>
    </row>
    <row r="13" spans="1:5" x14ac:dyDescent="0.25">
      <c r="A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CDC8-E6DA-4EDA-A763-24D8E8D2D4A6}">
  <dimension ref="A1:EX53"/>
  <sheetViews>
    <sheetView tabSelected="1" workbookViewId="0">
      <pane xSplit="1" ySplit="1" topLeftCell="I3" activePane="bottomRight" state="frozen"/>
      <selection pane="topRight" activeCell="B1" sqref="B1"/>
      <selection pane="bottomLeft" activeCell="A2" sqref="A2"/>
      <selection pane="bottomRight" activeCell="AG19" sqref="AG19"/>
    </sheetView>
  </sheetViews>
  <sheetFormatPr defaultRowHeight="12.75" x14ac:dyDescent="0.2"/>
  <cols>
    <col min="1" max="1" width="24.140625" style="6" bestFit="1" customWidth="1"/>
    <col min="2" max="18" width="9.28515625" style="6" bestFit="1" customWidth="1"/>
    <col min="19" max="20" width="9.140625" style="6"/>
    <col min="21" max="24" width="9.28515625" style="6" bestFit="1" customWidth="1"/>
    <col min="25" max="27" width="9.85546875" style="6" bestFit="1" customWidth="1"/>
    <col min="28" max="33" width="9.28515625" style="6" bestFit="1" customWidth="1"/>
    <col min="34" max="34" width="11.28515625" style="6" bestFit="1" customWidth="1"/>
    <col min="35" max="154" width="9.28515625" style="6" bestFit="1" customWidth="1"/>
    <col min="155" max="16384" width="9.140625" style="6"/>
  </cols>
  <sheetData>
    <row r="1" spans="1:34" x14ac:dyDescent="0.2">
      <c r="A1" s="4" t="s">
        <v>123</v>
      </c>
      <c r="B1" s="5" t="s">
        <v>8</v>
      </c>
      <c r="C1" s="5" t="s">
        <v>61</v>
      </c>
      <c r="D1" s="5" t="s">
        <v>62</v>
      </c>
      <c r="E1" s="5" t="s">
        <v>63</v>
      </c>
      <c r="F1" s="5" t="s">
        <v>9</v>
      </c>
      <c r="G1" s="5" t="s">
        <v>58</v>
      </c>
      <c r="H1" s="5" t="s">
        <v>59</v>
      </c>
      <c r="I1" s="5" t="s">
        <v>60</v>
      </c>
      <c r="J1" s="5" t="s">
        <v>10</v>
      </c>
      <c r="K1" s="5" t="s">
        <v>55</v>
      </c>
      <c r="L1" s="5" t="s">
        <v>56</v>
      </c>
      <c r="M1" s="5" t="s">
        <v>57</v>
      </c>
      <c r="N1" s="5" t="s">
        <v>11</v>
      </c>
      <c r="O1" s="5" t="s">
        <v>53</v>
      </c>
      <c r="P1" s="5" t="s">
        <v>54</v>
      </c>
      <c r="Q1" s="5" t="s">
        <v>52</v>
      </c>
      <c r="R1" s="5" t="s">
        <v>12</v>
      </c>
      <c r="S1" s="5" t="s">
        <v>124</v>
      </c>
      <c r="U1" s="5">
        <v>2021</v>
      </c>
      <c r="V1" s="5">
        <v>2022</v>
      </c>
      <c r="W1" s="5">
        <v>2023</v>
      </c>
      <c r="X1" s="5">
        <f>+W1+1</f>
        <v>2024</v>
      </c>
      <c r="Y1" s="5">
        <f t="shared" ref="Y1:AC1" si="0">+X1+1</f>
        <v>2025</v>
      </c>
      <c r="Z1" s="5">
        <f t="shared" si="0"/>
        <v>2026</v>
      </c>
      <c r="AA1" s="5">
        <f t="shared" si="0"/>
        <v>2027</v>
      </c>
      <c r="AB1" s="5">
        <f t="shared" si="0"/>
        <v>2028</v>
      </c>
      <c r="AC1" s="5">
        <f t="shared" si="0"/>
        <v>2029</v>
      </c>
      <c r="AD1" s="5">
        <v>2030</v>
      </c>
    </row>
    <row r="2" spans="1:34" x14ac:dyDescent="0.2">
      <c r="A2" s="6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>
        <v>1204.835</v>
      </c>
      <c r="M2" s="7"/>
      <c r="N2" s="7">
        <v>1308.828</v>
      </c>
      <c r="O2" s="7">
        <v>1396.327</v>
      </c>
      <c r="P2" s="7">
        <v>1433.9269999999999</v>
      </c>
      <c r="Q2" s="7"/>
      <c r="R2" s="7">
        <v>1435.241</v>
      </c>
      <c r="S2" s="7">
        <v>1476.1210000000001</v>
      </c>
      <c r="U2" s="7">
        <v>4171.7619999999997</v>
      </c>
      <c r="V2" s="7">
        <v>5259.8029999999999</v>
      </c>
      <c r="W2" s="7">
        <v>6147.3720000000003</v>
      </c>
      <c r="X2" s="7"/>
      <c r="Y2" s="7"/>
      <c r="Z2" s="7"/>
      <c r="AA2" s="7"/>
      <c r="AB2" s="7"/>
      <c r="AC2" s="7"/>
      <c r="AD2" s="7"/>
      <c r="AG2" s="6" t="s">
        <v>65</v>
      </c>
      <c r="AH2" s="8">
        <v>0.08</v>
      </c>
    </row>
    <row r="3" spans="1:34" x14ac:dyDescent="0.2">
      <c r="A3" s="6" t="s">
        <v>49</v>
      </c>
      <c r="B3" s="7"/>
      <c r="C3" s="7"/>
      <c r="D3" s="7"/>
      <c r="E3" s="7"/>
      <c r="F3" s="7"/>
      <c r="G3" s="7"/>
      <c r="H3" s="7"/>
      <c r="I3" s="7"/>
      <c r="J3" s="7"/>
      <c r="K3" s="7"/>
      <c r="L3" s="7">
        <v>440.56400000000002</v>
      </c>
      <c r="M3" s="7"/>
      <c r="N3" s="7">
        <v>438.16500000000002</v>
      </c>
      <c r="O3" s="7">
        <v>530.72299999999996</v>
      </c>
      <c r="P3" s="7">
        <v>504.82799999999997</v>
      </c>
      <c r="Q3" s="7"/>
      <c r="R3" s="7">
        <v>505.69799999999998</v>
      </c>
      <c r="S3" s="7">
        <v>587.52499999999998</v>
      </c>
      <c r="U3" s="7">
        <v>1535.85</v>
      </c>
      <c r="V3" s="7">
        <v>1956.6020000000001</v>
      </c>
      <c r="W3" s="7">
        <v>2252.7530000000002</v>
      </c>
      <c r="X3" s="7"/>
      <c r="Y3" s="7"/>
      <c r="Z3" s="7"/>
      <c r="AA3" s="7"/>
      <c r="AB3" s="7"/>
      <c r="AC3" s="7"/>
      <c r="AD3" s="7"/>
      <c r="AG3" s="6" t="s">
        <v>66</v>
      </c>
      <c r="AH3" s="8">
        <v>0.01</v>
      </c>
    </row>
    <row r="4" spans="1:34" x14ac:dyDescent="0.2">
      <c r="A4" s="6" t="s">
        <v>50</v>
      </c>
      <c r="B4" s="7"/>
      <c r="C4" s="7"/>
      <c r="D4" s="7"/>
      <c r="E4" s="7"/>
      <c r="F4" s="7"/>
      <c r="G4" s="7"/>
      <c r="H4" s="7"/>
      <c r="I4" s="7"/>
      <c r="J4" s="7"/>
      <c r="K4" s="7"/>
      <c r="L4" s="7">
        <v>211.49</v>
      </c>
      <c r="M4" s="7"/>
      <c r="N4" s="7">
        <v>253.79900000000001</v>
      </c>
      <c r="O4" s="7">
        <v>282.11500000000001</v>
      </c>
      <c r="P4" s="7">
        <v>265.46300000000002</v>
      </c>
      <c r="Q4" s="7"/>
      <c r="R4" s="7">
        <v>267.952</v>
      </c>
      <c r="S4" s="7">
        <v>307.43200000000002</v>
      </c>
      <c r="U4" s="7">
        <v>549.005</v>
      </c>
      <c r="V4" s="7">
        <v>894.11300000000006</v>
      </c>
      <c r="W4" s="7">
        <v>1219.153</v>
      </c>
      <c r="X4" s="7"/>
      <c r="Y4" s="7"/>
      <c r="Z4" s="7"/>
      <c r="AA4" s="7"/>
      <c r="AB4" s="7"/>
      <c r="AC4" s="7"/>
      <c r="AD4" s="7"/>
      <c r="AG4" s="6" t="s">
        <v>64</v>
      </c>
      <c r="AH4" s="9">
        <f>+NPV(AH2,X25:XFD25)</f>
        <v>37860.834461657541</v>
      </c>
    </row>
    <row r="5" spans="1:34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1"/>
      <c r="P5" s="5"/>
      <c r="Q5" s="5"/>
      <c r="R5" s="5"/>
      <c r="S5" s="7"/>
      <c r="U5" s="5"/>
      <c r="V5" s="5"/>
      <c r="W5" s="5"/>
      <c r="X5" s="5"/>
      <c r="Y5" s="5"/>
      <c r="Z5" s="5"/>
      <c r="AA5" s="5"/>
      <c r="AB5" s="5"/>
      <c r="AC5" s="5"/>
      <c r="AD5" s="5"/>
      <c r="AG5" s="6" t="s">
        <v>67</v>
      </c>
      <c r="AH5" s="9">
        <f>+W51</f>
        <v>1900.672</v>
      </c>
    </row>
    <row r="6" spans="1:34" x14ac:dyDescent="0.2">
      <c r="A6" s="6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903.06</v>
      </c>
      <c r="M6" s="7"/>
      <c r="N6" s="7">
        <v>958.08699999999999</v>
      </c>
      <c r="O6" s="7">
        <v>1096.9390000000001</v>
      </c>
      <c r="P6" s="7">
        <v>1073.973</v>
      </c>
      <c r="Q6" s="7"/>
      <c r="R6" s="7">
        <v>1070.5250000000001</v>
      </c>
      <c r="S6" s="7">
        <v>1215.6130000000001</v>
      </c>
      <c r="U6" s="7">
        <v>2821.4969999999998</v>
      </c>
      <c r="V6" s="7">
        <v>3648.127</v>
      </c>
      <c r="W6" s="7">
        <v>4410.9560000000001</v>
      </c>
      <c r="X6" s="7"/>
      <c r="Y6" s="7"/>
      <c r="Z6" s="7"/>
      <c r="AA6" s="7"/>
      <c r="AB6" s="7"/>
      <c r="AC6" s="7"/>
      <c r="AD6" s="7"/>
      <c r="AG6" s="6" t="s">
        <v>68</v>
      </c>
      <c r="AH6" s="9">
        <f>+AH4+AH5</f>
        <v>39761.50646165754</v>
      </c>
    </row>
    <row r="7" spans="1:34" x14ac:dyDescent="0.2">
      <c r="A7" s="6" t="s">
        <v>46</v>
      </c>
      <c r="B7" s="7"/>
      <c r="C7" s="7"/>
      <c r="D7" s="7"/>
      <c r="E7" s="7"/>
      <c r="F7" s="7"/>
      <c r="G7" s="7"/>
      <c r="H7" s="7"/>
      <c r="I7" s="7"/>
      <c r="J7" s="7"/>
      <c r="K7" s="7"/>
      <c r="L7" s="7">
        <v>767.351</v>
      </c>
      <c r="M7" s="7"/>
      <c r="N7" s="7">
        <v>834.94200000000001</v>
      </c>
      <c r="O7" s="7">
        <v>893.673</v>
      </c>
      <c r="P7" s="7">
        <v>908.12699999999995</v>
      </c>
      <c r="Q7" s="7"/>
      <c r="R7" s="7">
        <v>905.78700000000003</v>
      </c>
      <c r="S7" s="7">
        <v>910.63699999999994</v>
      </c>
      <c r="U7" s="7">
        <v>2777.944</v>
      </c>
      <c r="V7" s="7">
        <v>3699.7910000000002</v>
      </c>
      <c r="W7" s="7">
        <v>4331.1099999999997</v>
      </c>
      <c r="X7" s="7"/>
      <c r="Y7" s="7"/>
      <c r="Z7" s="7"/>
      <c r="AA7" s="7"/>
      <c r="AB7" s="7"/>
      <c r="AC7" s="7"/>
      <c r="AD7" s="7"/>
      <c r="AG7" s="6" t="s">
        <v>69</v>
      </c>
      <c r="AH7" s="10">
        <f>+AH6/main!B3</f>
        <v>318.08604113942692</v>
      </c>
    </row>
    <row r="8" spans="1:34" x14ac:dyDescent="0.2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>
        <v>186.47800000000001</v>
      </c>
      <c r="M8" s="7"/>
      <c r="N8" s="7">
        <v>207.76300000000001</v>
      </c>
      <c r="O8" s="7">
        <v>218.553</v>
      </c>
      <c r="P8" s="7">
        <v>222.11799999999999</v>
      </c>
      <c r="Q8" s="7"/>
      <c r="R8" s="7">
        <v>232.57900000000001</v>
      </c>
      <c r="S8" s="7">
        <v>244.828</v>
      </c>
      <c r="U8" s="7">
        <v>657.17600000000004</v>
      </c>
      <c r="V8" s="7">
        <v>762.6</v>
      </c>
      <c r="W8" s="7">
        <v>897.21199999999999</v>
      </c>
      <c r="X8" s="7"/>
      <c r="Y8" s="7"/>
      <c r="Z8" s="7"/>
      <c r="AA8" s="7"/>
      <c r="AB8" s="7"/>
      <c r="AC8" s="7"/>
      <c r="AD8" s="7"/>
    </row>
    <row r="9" spans="1:34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7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4" x14ac:dyDescent="0.2">
      <c r="A10" s="6" t="s">
        <v>35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>
        <v>1268.5119999999999</v>
      </c>
      <c r="M10" s="7"/>
      <c r="N10" s="7">
        <v>1314.3910000000001</v>
      </c>
      <c r="O10" s="7">
        <v>1424.9259999999999</v>
      </c>
      <c r="P10" s="7">
        <v>1423.5740000000001</v>
      </c>
      <c r="Q10" s="7"/>
      <c r="R10" s="7">
        <v>1340.4</v>
      </c>
      <c r="S10" s="7">
        <v>1421.98</v>
      </c>
      <c r="U10" s="7">
        <v>4345.6869999999999</v>
      </c>
      <c r="V10" s="7">
        <v>5654.3429999999998</v>
      </c>
      <c r="W10" s="7">
        <v>6346.3919999999998</v>
      </c>
      <c r="X10" s="7">
        <f>+W10*1.01</f>
        <v>6409.85592</v>
      </c>
      <c r="Y10" s="7">
        <f t="shared" ref="Y10:AD10" si="1">+X10*1.01</f>
        <v>6473.9544791999997</v>
      </c>
      <c r="Z10" s="7">
        <f t="shared" si="1"/>
        <v>6538.6940239919995</v>
      </c>
      <c r="AA10" s="7">
        <f t="shared" si="1"/>
        <v>6604.08096423192</v>
      </c>
      <c r="AB10" s="7">
        <f t="shared" si="1"/>
        <v>6670.1217738742389</v>
      </c>
      <c r="AC10" s="7">
        <f t="shared" si="1"/>
        <v>6736.8229916129812</v>
      </c>
      <c r="AD10" s="7">
        <f t="shared" si="1"/>
        <v>6804.1912215291113</v>
      </c>
    </row>
    <row r="11" spans="1:34" x14ac:dyDescent="0.2">
      <c r="A11" s="6" t="s">
        <v>36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>
        <v>271.82299999999998</v>
      </c>
      <c r="M11" s="7"/>
      <c r="N11" s="7">
        <v>253.34700000000001</v>
      </c>
      <c r="O11" s="7">
        <v>294.84699999999998</v>
      </c>
      <c r="P11" s="7">
        <v>308.82400000000001</v>
      </c>
      <c r="Q11" s="7"/>
      <c r="R11" s="7">
        <v>281.86399999999998</v>
      </c>
      <c r="S11" s="7">
        <v>319.45299999999997</v>
      </c>
      <c r="U11" s="7">
        <v>954.21900000000005</v>
      </c>
      <c r="V11" s="7">
        <v>1163.1110000000001</v>
      </c>
      <c r="W11" s="7">
        <v>1285.2550000000001</v>
      </c>
      <c r="X11" s="7">
        <f t="shared" ref="X11:Y11" si="2">+W11*1.08</f>
        <v>1388.0754000000002</v>
      </c>
      <c r="Y11" s="7">
        <f>+X11*1.08</f>
        <v>1499.1214320000004</v>
      </c>
      <c r="Z11" s="7">
        <f t="shared" ref="Z11:AD11" si="3">+Y11*1.08</f>
        <v>1619.0511465600005</v>
      </c>
      <c r="AA11" s="7">
        <f t="shared" si="3"/>
        <v>1748.5752382848007</v>
      </c>
      <c r="AB11" s="7">
        <f t="shared" si="3"/>
        <v>1888.4612573475849</v>
      </c>
      <c r="AC11" s="7">
        <f t="shared" si="3"/>
        <v>2039.5381579353918</v>
      </c>
      <c r="AD11" s="7">
        <f t="shared" si="3"/>
        <v>2202.7012105702233</v>
      </c>
    </row>
    <row r="12" spans="1:34" x14ac:dyDescent="0.2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210.06800000000001</v>
      </c>
      <c r="O12" s="7">
        <v>234.44499999999999</v>
      </c>
      <c r="P12" s="7"/>
      <c r="Q12" s="7"/>
      <c r="R12" s="7">
        <v>303.786</v>
      </c>
      <c r="S12" s="7">
        <v>314.18900000000002</v>
      </c>
      <c r="U12" s="7">
        <v>434.26100000000002</v>
      </c>
      <c r="V12" s="7">
        <v>576.50300000000004</v>
      </c>
      <c r="W12" s="7">
        <v>963.76</v>
      </c>
      <c r="X12" s="7">
        <f>+W12*1.3</f>
        <v>1252.8879999999999</v>
      </c>
      <c r="Y12" s="7">
        <f>+X12*1.25</f>
        <v>1566.11</v>
      </c>
      <c r="Z12" s="7">
        <f>+Y12*1.2</f>
        <v>1879.3319999999999</v>
      </c>
      <c r="AA12" s="7">
        <f t="shared" ref="AA12" si="4">+Z12*1.15</f>
        <v>2161.2317999999996</v>
      </c>
      <c r="AB12" s="7">
        <f>+AA12*1.1</f>
        <v>2377.3549799999996</v>
      </c>
      <c r="AC12" s="7">
        <f t="shared" ref="AC12:AD12" si="5">+AB12*1.1</f>
        <v>2615.0904779999996</v>
      </c>
      <c r="AD12" s="7">
        <f t="shared" si="5"/>
        <v>2876.5995257999998</v>
      </c>
    </row>
    <row r="13" spans="1:34" x14ac:dyDescent="0.2">
      <c r="A13" s="6" t="s">
        <v>38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39.616999999999997</v>
      </c>
      <c r="O13" s="7">
        <v>43.055</v>
      </c>
      <c r="P13" s="7"/>
      <c r="Q13" s="7"/>
      <c r="R13" s="7">
        <v>42.264000000000003</v>
      </c>
      <c r="S13" s="7">
        <v>42.034999999999997</v>
      </c>
      <c r="U13" s="7">
        <v>86.111000000000004</v>
      </c>
      <c r="V13" s="7">
        <v>105.13</v>
      </c>
      <c r="W13" s="7">
        <v>170.53299999999999</v>
      </c>
      <c r="X13" s="7">
        <f>+W13*1.06</f>
        <v>180.76498000000001</v>
      </c>
      <c r="Y13" s="7">
        <f t="shared" ref="Y13:AD13" si="6">+X13*1.06</f>
        <v>191.61087880000002</v>
      </c>
      <c r="Z13" s="7">
        <f t="shared" si="6"/>
        <v>203.10753152800004</v>
      </c>
      <c r="AA13" s="7">
        <f t="shared" si="6"/>
        <v>215.29398341968005</v>
      </c>
      <c r="AB13" s="7">
        <f t="shared" si="6"/>
        <v>228.21162242486085</v>
      </c>
      <c r="AC13" s="7">
        <f t="shared" si="6"/>
        <v>241.90431977035252</v>
      </c>
      <c r="AD13" s="7">
        <f t="shared" si="6"/>
        <v>256.4185789565737</v>
      </c>
    </row>
    <row r="14" spans="1:34" x14ac:dyDescent="0.2">
      <c r="A14" s="6" t="s">
        <v>39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v>142.40199999999999</v>
      </c>
      <c r="M14" s="7"/>
      <c r="N14" s="7">
        <v>183.369</v>
      </c>
      <c r="O14" s="7">
        <v>211.892</v>
      </c>
      <c r="P14" s="7">
        <v>204.929</v>
      </c>
      <c r="Q14" s="7"/>
      <c r="R14" s="7">
        <v>240.577</v>
      </c>
      <c r="S14" s="7">
        <v>273.42099999999999</v>
      </c>
      <c r="U14" s="7">
        <v>436.339</v>
      </c>
      <c r="V14" s="7">
        <v>611.43100000000004</v>
      </c>
      <c r="W14" s="7">
        <v>853.33799999999997</v>
      </c>
      <c r="X14" s="7">
        <f>+W14*1.35</f>
        <v>1152.0063</v>
      </c>
      <c r="Y14" s="7">
        <f t="shared" ref="Y14" si="7">+X14*1.3</f>
        <v>1497.6081900000001</v>
      </c>
      <c r="Z14" s="7">
        <f>+Y14*1.25</f>
        <v>1872.0102375000001</v>
      </c>
      <c r="AA14" s="7">
        <f t="shared" ref="AA14:AD14" si="8">+Z14*1.25</f>
        <v>2340.0127968750003</v>
      </c>
      <c r="AB14" s="7">
        <f t="shared" si="8"/>
        <v>2925.0159960937503</v>
      </c>
      <c r="AC14" s="7">
        <f t="shared" si="8"/>
        <v>3656.269995117188</v>
      </c>
      <c r="AD14" s="7">
        <f t="shared" si="8"/>
        <v>4570.3374938964853</v>
      </c>
    </row>
    <row r="15" spans="1:34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7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4" x14ac:dyDescent="0.2">
      <c r="A16" s="5" t="s">
        <v>13</v>
      </c>
      <c r="B16" s="11">
        <f t="shared" ref="B16:Q16" si="9">+SUM(B10:B14)</f>
        <v>0</v>
      </c>
      <c r="C16" s="11">
        <f t="shared" si="9"/>
        <v>0</v>
      </c>
      <c r="D16" s="11">
        <f t="shared" si="9"/>
        <v>0</v>
      </c>
      <c r="E16" s="11">
        <f t="shared" si="9"/>
        <v>0</v>
      </c>
      <c r="F16" s="11">
        <f t="shared" si="9"/>
        <v>0</v>
      </c>
      <c r="G16" s="11">
        <f t="shared" si="9"/>
        <v>0</v>
      </c>
      <c r="H16" s="11">
        <f t="shared" si="9"/>
        <v>0</v>
      </c>
      <c r="I16" s="11">
        <f t="shared" si="9"/>
        <v>0</v>
      </c>
      <c r="J16" s="11">
        <f t="shared" si="9"/>
        <v>0</v>
      </c>
      <c r="K16" s="11">
        <f t="shared" si="9"/>
        <v>0</v>
      </c>
      <c r="L16" s="11">
        <f t="shared" si="9"/>
        <v>1682.7370000000001</v>
      </c>
      <c r="M16" s="11">
        <f t="shared" si="9"/>
        <v>0</v>
      </c>
      <c r="N16" s="11">
        <f t="shared" si="9"/>
        <v>2000.7919999999999</v>
      </c>
      <c r="O16" s="11">
        <f>+SUM(O10:O14)</f>
        <v>2209.165</v>
      </c>
      <c r="P16" s="11">
        <f t="shared" si="9"/>
        <v>1937.3270000000002</v>
      </c>
      <c r="Q16" s="11">
        <f t="shared" si="9"/>
        <v>0</v>
      </c>
      <c r="R16" s="11">
        <f>+SUM(R10:R14)</f>
        <v>2208.8910000000001</v>
      </c>
      <c r="S16" s="11">
        <f t="shared" ref="S16" si="10">+SUM(S10:S14)</f>
        <v>2371.0779999999995</v>
      </c>
      <c r="U16" s="11">
        <f t="shared" ref="U16" si="11">+SUM(U10:U14)</f>
        <v>6256.6170000000002</v>
      </c>
      <c r="V16" s="11">
        <f t="shared" ref="V16:AC16" si="12">+SUM(V10:V14)</f>
        <v>8110.518</v>
      </c>
      <c r="W16" s="11">
        <f t="shared" si="12"/>
        <v>9619.2779999999984</v>
      </c>
      <c r="X16" s="11">
        <f>+SUM(X10:X14)</f>
        <v>10383.5906</v>
      </c>
      <c r="Y16" s="11">
        <f t="shared" si="12"/>
        <v>11228.404980000001</v>
      </c>
      <c r="Z16" s="11">
        <f t="shared" si="12"/>
        <v>12112.19493958</v>
      </c>
      <c r="AA16" s="11">
        <f t="shared" si="12"/>
        <v>13069.194782811401</v>
      </c>
      <c r="AB16" s="11">
        <f t="shared" si="12"/>
        <v>14089.165629740435</v>
      </c>
      <c r="AC16" s="11">
        <f t="shared" si="12"/>
        <v>15289.625942435912</v>
      </c>
      <c r="AD16" s="11">
        <f t="shared" ref="AD16" si="13">+SUM(AD10:AD14)</f>
        <v>16710.248030752395</v>
      </c>
    </row>
    <row r="17" spans="1:154" x14ac:dyDescent="0.2">
      <c r="A17" s="6" t="s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v>818.03700000000003</v>
      </c>
      <c r="M17" s="7"/>
      <c r="N17" s="7">
        <v>849.98699999999997</v>
      </c>
      <c r="O17" s="7">
        <v>910.654</v>
      </c>
      <c r="P17" s="7">
        <v>947.55399999999997</v>
      </c>
      <c r="Q17" s="7"/>
      <c r="R17" s="7">
        <v>933.82299999999998</v>
      </c>
      <c r="S17" s="7">
        <v>958.89300000000003</v>
      </c>
      <c r="U17" s="7">
        <v>2648.0520000000001</v>
      </c>
      <c r="V17" s="7">
        <v>3618.1779999999999</v>
      </c>
      <c r="W17" s="7">
        <v>4009.873</v>
      </c>
      <c r="X17" s="7">
        <f>+X16*0.4</f>
        <v>4153.43624</v>
      </c>
      <c r="Y17" s="7">
        <f t="shared" ref="Y17:AD17" si="14">+Y16*0.4</f>
        <v>4491.361992000001</v>
      </c>
      <c r="Z17" s="7">
        <f t="shared" si="14"/>
        <v>4844.8779758320006</v>
      </c>
      <c r="AA17" s="7">
        <f t="shared" si="14"/>
        <v>5227.6779131245603</v>
      </c>
      <c r="AB17" s="7">
        <f t="shared" si="14"/>
        <v>5635.6662518961748</v>
      </c>
      <c r="AC17" s="7">
        <f t="shared" si="14"/>
        <v>6115.8503769743656</v>
      </c>
      <c r="AD17" s="7">
        <f t="shared" si="14"/>
        <v>6684.0992123009582</v>
      </c>
    </row>
    <row r="18" spans="1:154" x14ac:dyDescent="0.2">
      <c r="A18" s="5" t="s">
        <v>15</v>
      </c>
      <c r="B18" s="11">
        <f t="shared" ref="B18:Q18" si="15">+B16-B17</f>
        <v>0</v>
      </c>
      <c r="C18" s="11">
        <f t="shared" si="15"/>
        <v>0</v>
      </c>
      <c r="D18" s="11">
        <f t="shared" si="15"/>
        <v>0</v>
      </c>
      <c r="E18" s="11">
        <f t="shared" si="15"/>
        <v>0</v>
      </c>
      <c r="F18" s="11">
        <f t="shared" si="15"/>
        <v>0</v>
      </c>
      <c r="G18" s="11">
        <f t="shared" si="15"/>
        <v>0</v>
      </c>
      <c r="H18" s="11">
        <f t="shared" si="15"/>
        <v>0</v>
      </c>
      <c r="I18" s="11">
        <f t="shared" si="15"/>
        <v>0</v>
      </c>
      <c r="J18" s="11">
        <f t="shared" si="15"/>
        <v>0</v>
      </c>
      <c r="K18" s="11">
        <f t="shared" si="15"/>
        <v>0</v>
      </c>
      <c r="L18" s="11">
        <f t="shared" si="15"/>
        <v>864.7</v>
      </c>
      <c r="M18" s="11">
        <f t="shared" si="15"/>
        <v>0</v>
      </c>
      <c r="N18" s="11">
        <f t="shared" si="15"/>
        <v>1150.8049999999998</v>
      </c>
      <c r="O18" s="11">
        <f t="shared" si="15"/>
        <v>1298.511</v>
      </c>
      <c r="P18" s="11">
        <f t="shared" si="15"/>
        <v>989.77300000000025</v>
      </c>
      <c r="Q18" s="11">
        <f t="shared" si="15"/>
        <v>0</v>
      </c>
      <c r="R18" s="11">
        <f>+R16-R17</f>
        <v>1275.0680000000002</v>
      </c>
      <c r="S18" s="11">
        <f t="shared" ref="S18" si="16">+S16-S17</f>
        <v>1412.1849999999995</v>
      </c>
      <c r="U18" s="11">
        <f t="shared" ref="U18:AD18" si="17">+U16-U17</f>
        <v>3608.5650000000001</v>
      </c>
      <c r="V18" s="11">
        <f t="shared" si="17"/>
        <v>4492.34</v>
      </c>
      <c r="W18" s="11">
        <f t="shared" si="17"/>
        <v>5609.4049999999988</v>
      </c>
      <c r="X18" s="11">
        <f t="shared" si="17"/>
        <v>6230.1543599999995</v>
      </c>
      <c r="Y18" s="11">
        <f t="shared" si="17"/>
        <v>6737.0429880000002</v>
      </c>
      <c r="Z18" s="11">
        <f t="shared" si="17"/>
        <v>7267.3169637479996</v>
      </c>
      <c r="AA18" s="11">
        <f t="shared" si="17"/>
        <v>7841.5168696868404</v>
      </c>
      <c r="AB18" s="11">
        <f t="shared" si="17"/>
        <v>8453.4993778442604</v>
      </c>
      <c r="AC18" s="11">
        <f t="shared" si="17"/>
        <v>9173.7755654615466</v>
      </c>
      <c r="AD18" s="11">
        <f t="shared" si="17"/>
        <v>10026.148818451436</v>
      </c>
    </row>
    <row r="19" spans="1:154" x14ac:dyDescent="0.2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v>684.23599999999999</v>
      </c>
      <c r="M19" s="7"/>
      <c r="N19" s="7">
        <v>747.51300000000003</v>
      </c>
      <c r="O19" s="7">
        <v>817.375</v>
      </c>
      <c r="P19" s="7">
        <v>842.79499999999996</v>
      </c>
      <c r="Q19" s="7"/>
      <c r="R19" s="7">
        <v>842.42600000000004</v>
      </c>
      <c r="S19" s="7">
        <v>871.95899999999995</v>
      </c>
      <c r="U19" s="7">
        <v>2225.0340000000001</v>
      </c>
      <c r="V19" s="7">
        <v>2757.4470000000001</v>
      </c>
      <c r="W19" s="7">
        <v>3397.2179999999998</v>
      </c>
      <c r="X19" s="7">
        <f>+X16*0.35</f>
        <v>3634.2567099999997</v>
      </c>
      <c r="Y19" s="7">
        <f t="shared" ref="Y19:AD19" si="18">+Y16*0.35</f>
        <v>3929.9417430000003</v>
      </c>
      <c r="Z19" s="7">
        <f t="shared" si="18"/>
        <v>4239.2682288529995</v>
      </c>
      <c r="AA19" s="7">
        <f t="shared" si="18"/>
        <v>4574.2181739839898</v>
      </c>
      <c r="AB19" s="7">
        <f t="shared" si="18"/>
        <v>4931.207970409152</v>
      </c>
      <c r="AC19" s="7">
        <f t="shared" si="18"/>
        <v>5351.3690798525686</v>
      </c>
      <c r="AD19" s="7">
        <f t="shared" si="18"/>
        <v>5848.5868107633378</v>
      </c>
    </row>
    <row r="20" spans="1:154" x14ac:dyDescent="0.2">
      <c r="A20" s="6" t="s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v>2.1890000000000001</v>
      </c>
      <c r="M20" s="7"/>
      <c r="N20" s="7">
        <v>1.8779999999999999</v>
      </c>
      <c r="O20" s="7">
        <v>1.879</v>
      </c>
      <c r="P20" s="7">
        <f>74.501+12.53</f>
        <v>87.031000000000006</v>
      </c>
      <c r="Q20" s="7"/>
      <c r="R20" s="7">
        <v>0</v>
      </c>
      <c r="S20" s="7">
        <v>0</v>
      </c>
      <c r="U20" s="7">
        <f>8.782+41.394</f>
        <v>50.176000000000002</v>
      </c>
      <c r="V20" s="7">
        <f>407.913+8.752+10.18</f>
        <v>426.84500000000003</v>
      </c>
      <c r="W20" s="7">
        <f>74.501+5.01</f>
        <v>79.51100000000001</v>
      </c>
      <c r="X20" s="7"/>
      <c r="Y20" s="7"/>
      <c r="Z20" s="7"/>
      <c r="AA20" s="7"/>
      <c r="AB20" s="7"/>
      <c r="AC20" s="7"/>
      <c r="AD20" s="7"/>
    </row>
    <row r="21" spans="1:154" x14ac:dyDescent="0.2">
      <c r="A21" s="5" t="s">
        <v>18</v>
      </c>
      <c r="B21" s="11">
        <f t="shared" ref="B21:Q21" si="19">+B18-B19-B20</f>
        <v>0</v>
      </c>
      <c r="C21" s="11">
        <f t="shared" si="19"/>
        <v>0</v>
      </c>
      <c r="D21" s="11">
        <f t="shared" si="19"/>
        <v>0</v>
      </c>
      <c r="E21" s="11">
        <f t="shared" si="19"/>
        <v>0</v>
      </c>
      <c r="F21" s="11">
        <f t="shared" si="19"/>
        <v>0</v>
      </c>
      <c r="G21" s="11">
        <f t="shared" si="19"/>
        <v>0</v>
      </c>
      <c r="H21" s="11">
        <f t="shared" si="19"/>
        <v>0</v>
      </c>
      <c r="I21" s="11">
        <f t="shared" si="19"/>
        <v>0</v>
      </c>
      <c r="J21" s="11">
        <f t="shared" si="19"/>
        <v>0</v>
      </c>
      <c r="K21" s="11">
        <f t="shared" si="19"/>
        <v>0</v>
      </c>
      <c r="L21" s="11">
        <f t="shared" si="19"/>
        <v>178.27500000000006</v>
      </c>
      <c r="M21" s="11">
        <f t="shared" si="19"/>
        <v>0</v>
      </c>
      <c r="N21" s="11">
        <f t="shared" si="19"/>
        <v>401.41399999999982</v>
      </c>
      <c r="O21" s="11">
        <f t="shared" si="19"/>
        <v>479.25699999999995</v>
      </c>
      <c r="P21" s="11">
        <f t="shared" si="19"/>
        <v>59.947000000000287</v>
      </c>
      <c r="Q21" s="11">
        <f t="shared" si="19"/>
        <v>0</v>
      </c>
      <c r="R21" s="11">
        <f>+R18-R19-R20</f>
        <v>432.64200000000017</v>
      </c>
      <c r="S21" s="11">
        <f t="shared" ref="S21" si="20">+S18-S19-S20</f>
        <v>540.22599999999954</v>
      </c>
      <c r="U21" s="11">
        <f t="shared" ref="U21:AD21" si="21">+U18-U19-U20</f>
        <v>1333.355</v>
      </c>
      <c r="V21" s="11">
        <f t="shared" si="21"/>
        <v>1308.048</v>
      </c>
      <c r="W21" s="11">
        <f t="shared" si="21"/>
        <v>2132.675999999999</v>
      </c>
      <c r="X21" s="11">
        <f t="shared" si="21"/>
        <v>2595.8976499999999</v>
      </c>
      <c r="Y21" s="11">
        <f t="shared" si="21"/>
        <v>2807.1012449999998</v>
      </c>
      <c r="Z21" s="11">
        <f t="shared" si="21"/>
        <v>3028.0487348950001</v>
      </c>
      <c r="AA21" s="11">
        <f t="shared" si="21"/>
        <v>3267.2986957028506</v>
      </c>
      <c r="AB21" s="11">
        <f t="shared" si="21"/>
        <v>3522.2914074351083</v>
      </c>
      <c r="AC21" s="11">
        <f t="shared" si="21"/>
        <v>3822.4064856089781</v>
      </c>
      <c r="AD21" s="11">
        <f t="shared" si="21"/>
        <v>4177.5620076880987</v>
      </c>
    </row>
    <row r="22" spans="1:154" x14ac:dyDescent="0.2">
      <c r="A22" s="6" t="s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v>0.33100000000000002</v>
      </c>
      <c r="M22" s="7"/>
      <c r="N22" s="7">
        <v>8.0250000000000004</v>
      </c>
      <c r="O22" s="7">
        <v>7.3620000000000001</v>
      </c>
      <c r="P22" s="7">
        <v>9.8420000000000005</v>
      </c>
      <c r="Q22" s="7"/>
      <c r="R22" s="7">
        <v>23.283000000000001</v>
      </c>
      <c r="S22" s="7">
        <v>17.994</v>
      </c>
      <c r="U22" s="7">
        <v>0.51400000000000001</v>
      </c>
      <c r="V22" s="7">
        <v>4.1630000000000003</v>
      </c>
      <c r="W22" s="7">
        <v>43.058999999999997</v>
      </c>
      <c r="X22" s="7">
        <f>+W51*0.01</f>
        <v>19.006720000000001</v>
      </c>
      <c r="Y22" s="7">
        <f t="shared" ref="Y22:AD22" si="22">+X51*0.01</f>
        <v>20.894773027999999</v>
      </c>
      <c r="Z22" s="7">
        <f t="shared" si="22"/>
        <v>22.936780697427999</v>
      </c>
      <c r="AA22" s="7">
        <f t="shared" si="22"/>
        <v>25.139912567249826</v>
      </c>
      <c r="AB22" s="7">
        <f t="shared" si="22"/>
        <v>27.517507540723127</v>
      </c>
      <c r="AC22" s="7">
        <f t="shared" si="22"/>
        <v>30.081074861617125</v>
      </c>
      <c r="AD22" s="7">
        <f t="shared" si="22"/>
        <v>32.863288606117209</v>
      </c>
    </row>
    <row r="23" spans="1:154" x14ac:dyDescent="0.2">
      <c r="A23" s="6" t="s">
        <v>20</v>
      </c>
      <c r="B23" s="7">
        <f t="shared" ref="B23:Q23" si="23">+B21+B22</f>
        <v>0</v>
      </c>
      <c r="C23" s="7">
        <f t="shared" si="23"/>
        <v>0</v>
      </c>
      <c r="D23" s="7">
        <f t="shared" si="23"/>
        <v>0</v>
      </c>
      <c r="E23" s="7">
        <f t="shared" si="23"/>
        <v>0</v>
      </c>
      <c r="F23" s="7">
        <f t="shared" si="23"/>
        <v>0</v>
      </c>
      <c r="G23" s="7">
        <f t="shared" si="23"/>
        <v>0</v>
      </c>
      <c r="H23" s="7">
        <f t="shared" si="23"/>
        <v>0</v>
      </c>
      <c r="I23" s="7">
        <f t="shared" si="23"/>
        <v>0</v>
      </c>
      <c r="J23" s="7">
        <f t="shared" si="23"/>
        <v>0</v>
      </c>
      <c r="K23" s="7">
        <f t="shared" si="23"/>
        <v>0</v>
      </c>
      <c r="L23" s="7">
        <f t="shared" si="23"/>
        <v>178.60600000000005</v>
      </c>
      <c r="M23" s="7">
        <f t="shared" si="23"/>
        <v>0</v>
      </c>
      <c r="N23" s="7">
        <f t="shared" si="23"/>
        <v>409.43899999999979</v>
      </c>
      <c r="O23" s="7">
        <f t="shared" si="23"/>
        <v>486.61899999999997</v>
      </c>
      <c r="P23" s="7">
        <f t="shared" si="23"/>
        <v>69.789000000000286</v>
      </c>
      <c r="Q23" s="7">
        <f t="shared" si="23"/>
        <v>0</v>
      </c>
      <c r="R23" s="7">
        <f>+R21+R22</f>
        <v>455.92500000000018</v>
      </c>
      <c r="S23" s="7">
        <f t="shared" ref="S23" si="24">+S21+S22</f>
        <v>558.21999999999957</v>
      </c>
      <c r="U23" s="7">
        <f t="shared" ref="U23:AD23" si="25">+U21+U22</f>
        <v>1333.8689999999999</v>
      </c>
      <c r="V23" s="7">
        <f t="shared" si="25"/>
        <v>1312.211</v>
      </c>
      <c r="W23" s="7">
        <f t="shared" si="25"/>
        <v>2175.7349999999992</v>
      </c>
      <c r="X23" s="7">
        <f t="shared" si="25"/>
        <v>2614.9043699999997</v>
      </c>
      <c r="Y23" s="7">
        <f t="shared" si="25"/>
        <v>2827.996018028</v>
      </c>
      <c r="Z23" s="7">
        <f t="shared" si="25"/>
        <v>3050.9855155924279</v>
      </c>
      <c r="AA23" s="7">
        <f t="shared" si="25"/>
        <v>3292.4386082701003</v>
      </c>
      <c r="AB23" s="7">
        <f t="shared" si="25"/>
        <v>3549.8089149758316</v>
      </c>
      <c r="AC23" s="7">
        <f t="shared" si="25"/>
        <v>3852.4875604705953</v>
      </c>
      <c r="AD23" s="7">
        <f t="shared" si="25"/>
        <v>4210.4252962942155</v>
      </c>
    </row>
    <row r="24" spans="1:154" x14ac:dyDescent="0.2">
      <c r="A24" s="6" t="s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v>97.287999999999997</v>
      </c>
      <c r="M24" s="7"/>
      <c r="N24" s="7">
        <v>119.03400000000001</v>
      </c>
      <c r="O24" s="7">
        <v>145.01599999999999</v>
      </c>
      <c r="P24" s="7">
        <v>99.242999999999995</v>
      </c>
      <c r="Q24" s="7"/>
      <c r="R24" s="7">
        <v>134.50399999999999</v>
      </c>
      <c r="S24" s="7">
        <v>165.298</v>
      </c>
      <c r="U24" s="7">
        <v>358.54700000000003</v>
      </c>
      <c r="V24" s="7">
        <v>477.77100000000002</v>
      </c>
      <c r="W24" s="7">
        <v>625.54499999999996</v>
      </c>
      <c r="X24" s="7">
        <f>+X16*0.07</f>
        <v>726.85134200000005</v>
      </c>
      <c r="Y24" s="7">
        <f t="shared" ref="Y24:AD24" si="26">+Y16*0.07</f>
        <v>785.98834860000011</v>
      </c>
      <c r="Z24" s="7">
        <f t="shared" si="26"/>
        <v>847.85364577060011</v>
      </c>
      <c r="AA24" s="7">
        <f t="shared" si="26"/>
        <v>914.84363479679814</v>
      </c>
      <c r="AB24" s="7">
        <f t="shared" si="26"/>
        <v>986.24159408183061</v>
      </c>
      <c r="AC24" s="7">
        <f t="shared" si="26"/>
        <v>1070.2738159705139</v>
      </c>
      <c r="AD24" s="7">
        <f t="shared" si="26"/>
        <v>1169.7173621526676</v>
      </c>
    </row>
    <row r="25" spans="1:154" s="11" customFormat="1" x14ac:dyDescent="0.2">
      <c r="A25" s="5" t="s">
        <v>22</v>
      </c>
      <c r="B25" s="11">
        <f t="shared" ref="B25:Q25" si="27">+B23-B24</f>
        <v>0</v>
      </c>
      <c r="C25" s="11">
        <f t="shared" si="27"/>
        <v>0</v>
      </c>
      <c r="D25" s="11">
        <f t="shared" si="27"/>
        <v>0</v>
      </c>
      <c r="E25" s="11">
        <f t="shared" si="27"/>
        <v>0</v>
      </c>
      <c r="F25" s="11">
        <f t="shared" si="27"/>
        <v>0</v>
      </c>
      <c r="G25" s="11">
        <f t="shared" si="27"/>
        <v>0</v>
      </c>
      <c r="H25" s="11">
        <f t="shared" si="27"/>
        <v>0</v>
      </c>
      <c r="I25" s="11">
        <f t="shared" si="27"/>
        <v>0</v>
      </c>
      <c r="J25" s="11">
        <f t="shared" si="27"/>
        <v>0</v>
      </c>
      <c r="K25" s="11">
        <f t="shared" si="27"/>
        <v>0</v>
      </c>
      <c r="L25" s="11">
        <f t="shared" si="27"/>
        <v>81.318000000000055</v>
      </c>
      <c r="M25" s="11">
        <f t="shared" si="27"/>
        <v>0</v>
      </c>
      <c r="N25" s="11">
        <f t="shared" si="27"/>
        <v>290.4049999999998</v>
      </c>
      <c r="O25" s="11">
        <f t="shared" si="27"/>
        <v>341.60299999999995</v>
      </c>
      <c r="P25" s="11">
        <f t="shared" si="27"/>
        <v>-29.453999999999709</v>
      </c>
      <c r="Q25" s="11">
        <f t="shared" si="27"/>
        <v>0</v>
      </c>
      <c r="R25" s="11">
        <f>+R23-R24</f>
        <v>321.42100000000016</v>
      </c>
      <c r="S25" s="11">
        <f t="shared" ref="S25" si="28">+S23-S24</f>
        <v>392.92199999999957</v>
      </c>
      <c r="T25" s="6"/>
      <c r="U25" s="11">
        <f t="shared" ref="U25:AD25" si="29">+U23-U24</f>
        <v>975.32199999999989</v>
      </c>
      <c r="V25" s="11">
        <f t="shared" si="29"/>
        <v>834.44</v>
      </c>
      <c r="W25" s="11">
        <f t="shared" si="29"/>
        <v>1550.1899999999991</v>
      </c>
      <c r="X25" s="11">
        <f t="shared" si="29"/>
        <v>1888.0530279999998</v>
      </c>
      <c r="Y25" s="11">
        <f t="shared" si="29"/>
        <v>2042.0076694279999</v>
      </c>
      <c r="Z25" s="11">
        <f t="shared" si="29"/>
        <v>2203.1318698218279</v>
      </c>
      <c r="AA25" s="11">
        <f t="shared" si="29"/>
        <v>2377.5949734733022</v>
      </c>
      <c r="AB25" s="11">
        <f t="shared" si="29"/>
        <v>2563.5673208940011</v>
      </c>
      <c r="AC25" s="11">
        <f t="shared" si="29"/>
        <v>2782.2137445000817</v>
      </c>
      <c r="AD25" s="11">
        <f t="shared" si="29"/>
        <v>3040.7079341415479</v>
      </c>
      <c r="AE25" s="11">
        <f>+AD25*(1+$AH$3)</f>
        <v>3071.1150134829631</v>
      </c>
      <c r="AF25" s="11">
        <f t="shared" ref="AF25:CQ25" si="30">+AE25*(1+$AH$3)</f>
        <v>3101.8261636177926</v>
      </c>
      <c r="AG25" s="11">
        <f t="shared" si="30"/>
        <v>3132.8444252539707</v>
      </c>
      <c r="AH25" s="11">
        <f t="shared" si="30"/>
        <v>3164.1728695065103</v>
      </c>
      <c r="AI25" s="11">
        <f t="shared" si="30"/>
        <v>3195.8145982015753</v>
      </c>
      <c r="AJ25" s="11">
        <f t="shared" si="30"/>
        <v>3227.7727441835909</v>
      </c>
      <c r="AK25" s="11">
        <f t="shared" si="30"/>
        <v>3260.0504716254268</v>
      </c>
      <c r="AL25" s="11">
        <f t="shared" si="30"/>
        <v>3292.6509763416811</v>
      </c>
      <c r="AM25" s="11">
        <f t="shared" si="30"/>
        <v>3325.5774861050982</v>
      </c>
      <c r="AN25" s="11">
        <f t="shared" si="30"/>
        <v>3358.8332609661493</v>
      </c>
      <c r="AO25" s="11">
        <f t="shared" si="30"/>
        <v>3392.4215935758107</v>
      </c>
      <c r="AP25" s="11">
        <f t="shared" si="30"/>
        <v>3426.3458095115689</v>
      </c>
      <c r="AQ25" s="11">
        <f t="shared" si="30"/>
        <v>3460.6092676066846</v>
      </c>
      <c r="AR25" s="11">
        <f t="shared" si="30"/>
        <v>3495.2153602827516</v>
      </c>
      <c r="AS25" s="11">
        <f t="shared" si="30"/>
        <v>3530.167513885579</v>
      </c>
      <c r="AT25" s="11">
        <f t="shared" si="30"/>
        <v>3565.4691890244349</v>
      </c>
      <c r="AU25" s="11">
        <f t="shared" si="30"/>
        <v>3601.1238809146794</v>
      </c>
      <c r="AV25" s="11">
        <f t="shared" si="30"/>
        <v>3637.1351197238264</v>
      </c>
      <c r="AW25" s="11">
        <f t="shared" si="30"/>
        <v>3673.5064709210646</v>
      </c>
      <c r="AX25" s="11">
        <f t="shared" si="30"/>
        <v>3710.2415356302754</v>
      </c>
      <c r="AY25" s="11">
        <f t="shared" si="30"/>
        <v>3747.343950986578</v>
      </c>
      <c r="AZ25" s="11">
        <f t="shared" si="30"/>
        <v>3784.8173904964437</v>
      </c>
      <c r="BA25" s="11">
        <f t="shared" si="30"/>
        <v>3822.6655644014081</v>
      </c>
      <c r="BB25" s="11">
        <f t="shared" si="30"/>
        <v>3860.8922200454222</v>
      </c>
      <c r="BC25" s="11">
        <f t="shared" si="30"/>
        <v>3899.5011422458765</v>
      </c>
      <c r="BD25" s="11">
        <f t="shared" si="30"/>
        <v>3938.4961536683354</v>
      </c>
      <c r="BE25" s="11">
        <f t="shared" si="30"/>
        <v>3977.8811152050189</v>
      </c>
      <c r="BF25" s="11">
        <f t="shared" si="30"/>
        <v>4017.6599263570693</v>
      </c>
      <c r="BG25" s="11">
        <f t="shared" si="30"/>
        <v>4057.8365256206398</v>
      </c>
      <c r="BH25" s="11">
        <f t="shared" si="30"/>
        <v>4098.4148908768466</v>
      </c>
      <c r="BI25" s="11">
        <f t="shared" si="30"/>
        <v>4139.3990397856151</v>
      </c>
      <c r="BJ25" s="11">
        <f t="shared" si="30"/>
        <v>4180.7930301834713</v>
      </c>
      <c r="BK25" s="11">
        <f t="shared" si="30"/>
        <v>4222.6009604853061</v>
      </c>
      <c r="BL25" s="11">
        <f t="shared" si="30"/>
        <v>4264.8269700901592</v>
      </c>
      <c r="BM25" s="11">
        <f t="shared" si="30"/>
        <v>4307.4752397910606</v>
      </c>
      <c r="BN25" s="11">
        <f t="shared" si="30"/>
        <v>4350.5499921889714</v>
      </c>
      <c r="BO25" s="11">
        <f t="shared" si="30"/>
        <v>4394.0554921108615</v>
      </c>
      <c r="BP25" s="11">
        <f t="shared" si="30"/>
        <v>4437.9960470319702</v>
      </c>
      <c r="BQ25" s="11">
        <f t="shared" si="30"/>
        <v>4482.3760075022901</v>
      </c>
      <c r="BR25" s="11">
        <f t="shared" si="30"/>
        <v>4527.1997675773127</v>
      </c>
      <c r="BS25" s="11">
        <f t="shared" si="30"/>
        <v>4572.4717652530862</v>
      </c>
      <c r="BT25" s="11">
        <f t="shared" si="30"/>
        <v>4618.1964829056169</v>
      </c>
      <c r="BU25" s="11">
        <f t="shared" si="30"/>
        <v>4664.3784477346735</v>
      </c>
      <c r="BV25" s="11">
        <f t="shared" si="30"/>
        <v>4711.0222322120198</v>
      </c>
      <c r="BW25" s="11">
        <f t="shared" si="30"/>
        <v>4758.1324545341404</v>
      </c>
      <c r="BX25" s="11">
        <f t="shared" si="30"/>
        <v>4805.7137790794823</v>
      </c>
      <c r="BY25" s="11">
        <f t="shared" si="30"/>
        <v>4853.7709168702768</v>
      </c>
      <c r="BZ25" s="11">
        <f t="shared" si="30"/>
        <v>4902.30862603898</v>
      </c>
      <c r="CA25" s="11">
        <f t="shared" si="30"/>
        <v>4951.3317122993694</v>
      </c>
      <c r="CB25" s="11">
        <f t="shared" si="30"/>
        <v>5000.845029422363</v>
      </c>
      <c r="CC25" s="11">
        <f t="shared" si="30"/>
        <v>5050.8534797165867</v>
      </c>
      <c r="CD25" s="11">
        <f t="shared" si="30"/>
        <v>5101.3620145137529</v>
      </c>
      <c r="CE25" s="11">
        <f t="shared" si="30"/>
        <v>5152.3756346588907</v>
      </c>
      <c r="CF25" s="11">
        <f t="shared" si="30"/>
        <v>5203.8993910054796</v>
      </c>
      <c r="CG25" s="11">
        <f t="shared" si="30"/>
        <v>5255.9383849155347</v>
      </c>
      <c r="CH25" s="11">
        <f t="shared" si="30"/>
        <v>5308.4977687646897</v>
      </c>
      <c r="CI25" s="11">
        <f t="shared" si="30"/>
        <v>5361.5827464523363</v>
      </c>
      <c r="CJ25" s="11">
        <f t="shared" si="30"/>
        <v>5415.1985739168595</v>
      </c>
      <c r="CK25" s="11">
        <f t="shared" si="30"/>
        <v>5469.3505596560281</v>
      </c>
      <c r="CL25" s="11">
        <f t="shared" si="30"/>
        <v>5524.0440652525886</v>
      </c>
      <c r="CM25" s="11">
        <f t="shared" si="30"/>
        <v>5579.2845059051142</v>
      </c>
      <c r="CN25" s="11">
        <f t="shared" si="30"/>
        <v>5635.0773509641658</v>
      </c>
      <c r="CO25" s="11">
        <f t="shared" si="30"/>
        <v>5691.4281244738077</v>
      </c>
      <c r="CP25" s="11">
        <f t="shared" si="30"/>
        <v>5748.3424057185457</v>
      </c>
      <c r="CQ25" s="11">
        <f t="shared" si="30"/>
        <v>5805.8258297757311</v>
      </c>
      <c r="CR25" s="11">
        <f t="shared" ref="CR25:EX25" si="31">+CQ25*(1+$AH$3)</f>
        <v>5863.8840880734888</v>
      </c>
      <c r="CS25" s="11">
        <f t="shared" si="31"/>
        <v>5922.522928954224</v>
      </c>
      <c r="CT25" s="11">
        <f t="shared" si="31"/>
        <v>5981.7481582437658</v>
      </c>
      <c r="CU25" s="11">
        <f t="shared" si="31"/>
        <v>6041.5656398262036</v>
      </c>
      <c r="CV25" s="11">
        <f t="shared" si="31"/>
        <v>6101.981296224466</v>
      </c>
      <c r="CW25" s="11">
        <f t="shared" si="31"/>
        <v>6163.0011091867109</v>
      </c>
      <c r="CX25" s="11">
        <f t="shared" si="31"/>
        <v>6224.6311202785782</v>
      </c>
      <c r="CY25" s="11">
        <f t="shared" si="31"/>
        <v>6286.8774314813645</v>
      </c>
      <c r="CZ25" s="11">
        <f t="shared" si="31"/>
        <v>6349.7462057961784</v>
      </c>
      <c r="DA25" s="11">
        <f t="shared" si="31"/>
        <v>6413.2436678541399</v>
      </c>
      <c r="DB25" s="11">
        <f t="shared" si="31"/>
        <v>6477.376104532681</v>
      </c>
      <c r="DC25" s="11">
        <f t="shared" si="31"/>
        <v>6542.1498655780078</v>
      </c>
      <c r="DD25" s="11">
        <f t="shared" si="31"/>
        <v>6607.5713642337878</v>
      </c>
      <c r="DE25" s="11">
        <f t="shared" si="31"/>
        <v>6673.6470778761259</v>
      </c>
      <c r="DF25" s="11">
        <f t="shared" si="31"/>
        <v>6740.3835486548869</v>
      </c>
      <c r="DG25" s="11">
        <f t="shared" si="31"/>
        <v>6807.7873841414357</v>
      </c>
      <c r="DH25" s="11">
        <f t="shared" si="31"/>
        <v>6875.8652579828504</v>
      </c>
      <c r="DI25" s="11">
        <f t="shared" si="31"/>
        <v>6944.6239105626792</v>
      </c>
      <c r="DJ25" s="11">
        <f t="shared" si="31"/>
        <v>7014.0701496683059</v>
      </c>
      <c r="DK25" s="11">
        <f t="shared" si="31"/>
        <v>7084.2108511649894</v>
      </c>
      <c r="DL25" s="11">
        <f t="shared" si="31"/>
        <v>7155.0529596766391</v>
      </c>
      <c r="DM25" s="11">
        <f t="shared" si="31"/>
        <v>7226.603489273406</v>
      </c>
      <c r="DN25" s="11">
        <f t="shared" si="31"/>
        <v>7298.8695241661399</v>
      </c>
      <c r="DO25" s="11">
        <f t="shared" si="31"/>
        <v>7371.8582194078017</v>
      </c>
      <c r="DP25" s="11">
        <f t="shared" si="31"/>
        <v>7445.5768016018801</v>
      </c>
      <c r="DQ25" s="11">
        <f t="shared" si="31"/>
        <v>7520.0325696178988</v>
      </c>
      <c r="DR25" s="11">
        <f t="shared" si="31"/>
        <v>7595.2328953140777</v>
      </c>
      <c r="DS25" s="11">
        <f t="shared" si="31"/>
        <v>7671.1852242672185</v>
      </c>
      <c r="DT25" s="11">
        <f t="shared" si="31"/>
        <v>7747.8970765098911</v>
      </c>
      <c r="DU25" s="11">
        <f t="shared" si="31"/>
        <v>7825.37604727499</v>
      </c>
      <c r="DV25" s="11">
        <f t="shared" si="31"/>
        <v>7903.6298077477404</v>
      </c>
      <c r="DW25" s="11">
        <f t="shared" si="31"/>
        <v>7982.6661058252175</v>
      </c>
      <c r="DX25" s="11">
        <f t="shared" si="31"/>
        <v>8062.4927668834698</v>
      </c>
      <c r="DY25" s="11">
        <f t="shared" si="31"/>
        <v>8143.1176945523048</v>
      </c>
      <c r="DZ25" s="11">
        <f t="shared" si="31"/>
        <v>8224.5488714978273</v>
      </c>
      <c r="EA25" s="11">
        <f t="shared" si="31"/>
        <v>8306.7943602128053</v>
      </c>
      <c r="EB25" s="11">
        <f t="shared" si="31"/>
        <v>8389.8623038149326</v>
      </c>
      <c r="EC25" s="11">
        <f t="shared" si="31"/>
        <v>8473.7609268530814</v>
      </c>
      <c r="ED25" s="11">
        <f t="shared" si="31"/>
        <v>8558.4985361216131</v>
      </c>
      <c r="EE25" s="11">
        <f t="shared" si="31"/>
        <v>8644.0835214828294</v>
      </c>
      <c r="EF25" s="11">
        <f t="shared" si="31"/>
        <v>8730.5243566976569</v>
      </c>
      <c r="EG25" s="11">
        <f t="shared" si="31"/>
        <v>8817.829600264633</v>
      </c>
      <c r="EH25" s="11">
        <f t="shared" si="31"/>
        <v>8906.0078962672796</v>
      </c>
      <c r="EI25" s="11">
        <f t="shared" si="31"/>
        <v>8995.0679752299529</v>
      </c>
      <c r="EJ25" s="11">
        <f t="shared" si="31"/>
        <v>9085.018654982252</v>
      </c>
      <c r="EK25" s="11">
        <f t="shared" si="31"/>
        <v>9175.8688415320739</v>
      </c>
      <c r="EL25" s="11">
        <f t="shared" si="31"/>
        <v>9267.6275299473946</v>
      </c>
      <c r="EM25" s="11">
        <f t="shared" si="31"/>
        <v>9360.3038052468692</v>
      </c>
      <c r="EN25" s="11">
        <f t="shared" si="31"/>
        <v>9453.9068432993372</v>
      </c>
      <c r="EO25" s="11">
        <f t="shared" si="31"/>
        <v>9548.4459117323313</v>
      </c>
      <c r="EP25" s="11">
        <f t="shared" si="31"/>
        <v>9643.9303708496554</v>
      </c>
      <c r="EQ25" s="11">
        <f t="shared" si="31"/>
        <v>9740.3696745581528</v>
      </c>
      <c r="ER25" s="11">
        <f t="shared" si="31"/>
        <v>9837.7733713037342</v>
      </c>
      <c r="ES25" s="11">
        <f t="shared" si="31"/>
        <v>9936.1511050167719</v>
      </c>
      <c r="ET25" s="11">
        <f t="shared" si="31"/>
        <v>10035.512616066941</v>
      </c>
      <c r="EU25" s="11">
        <f t="shared" si="31"/>
        <v>10135.867742227611</v>
      </c>
      <c r="EV25" s="11">
        <f t="shared" si="31"/>
        <v>10237.226419649887</v>
      </c>
      <c r="EW25" s="11">
        <f t="shared" si="31"/>
        <v>10339.598683846387</v>
      </c>
      <c r="EX25" s="11">
        <f t="shared" si="31"/>
        <v>10442.994670684851</v>
      </c>
    </row>
    <row r="26" spans="1:154" x14ac:dyDescent="0.2">
      <c r="A26" s="6" t="s">
        <v>23</v>
      </c>
      <c r="L26" s="6">
        <v>127.82</v>
      </c>
      <c r="N26" s="6">
        <v>127.621</v>
      </c>
      <c r="O26" s="6">
        <v>127.26300000000001</v>
      </c>
      <c r="P26" s="6">
        <v>126.77</v>
      </c>
      <c r="R26" s="6">
        <v>126.989</v>
      </c>
      <c r="S26" s="7">
        <v>124.857</v>
      </c>
      <c r="U26" s="6">
        <v>130.29499999999999</v>
      </c>
      <c r="V26" s="6">
        <v>128.017</v>
      </c>
      <c r="W26" s="6">
        <v>127.06</v>
      </c>
      <c r="X26" s="6">
        <f>+W26*0.98</f>
        <v>124.5188</v>
      </c>
      <c r="Y26" s="6">
        <f t="shared" ref="Y26:AD26" si="32">+X26*0.98</f>
        <v>122.028424</v>
      </c>
      <c r="Z26" s="6">
        <f t="shared" si="32"/>
        <v>119.58785552000001</v>
      </c>
      <c r="AA26" s="6">
        <f t="shared" si="32"/>
        <v>117.1960984096</v>
      </c>
      <c r="AB26" s="6">
        <f t="shared" si="32"/>
        <v>114.85217644140799</v>
      </c>
      <c r="AC26" s="6">
        <f t="shared" si="32"/>
        <v>112.55513291257984</v>
      </c>
      <c r="AD26" s="6">
        <f t="shared" si="32"/>
        <v>110.30403025432824</v>
      </c>
    </row>
    <row r="27" spans="1:154" x14ac:dyDescent="0.2">
      <c r="A27" s="6" t="s">
        <v>24</v>
      </c>
      <c r="B27" s="10" t="e">
        <f t="shared" ref="B27:Q27" si="33">+B25/B26</f>
        <v>#DIV/0!</v>
      </c>
      <c r="C27" s="10" t="e">
        <f t="shared" si="33"/>
        <v>#DIV/0!</v>
      </c>
      <c r="D27" s="10" t="e">
        <f t="shared" si="33"/>
        <v>#DIV/0!</v>
      </c>
      <c r="E27" s="10" t="e">
        <f t="shared" si="33"/>
        <v>#DIV/0!</v>
      </c>
      <c r="F27" s="10" t="e">
        <f t="shared" si="33"/>
        <v>#DIV/0!</v>
      </c>
      <c r="G27" s="10" t="e">
        <f t="shared" si="33"/>
        <v>#DIV/0!</v>
      </c>
      <c r="H27" s="10" t="e">
        <f t="shared" si="33"/>
        <v>#DIV/0!</v>
      </c>
      <c r="I27" s="10" t="e">
        <f t="shared" si="33"/>
        <v>#DIV/0!</v>
      </c>
      <c r="J27" s="10" t="e">
        <f t="shared" si="33"/>
        <v>#DIV/0!</v>
      </c>
      <c r="K27" s="10" t="e">
        <f t="shared" si="33"/>
        <v>#DIV/0!</v>
      </c>
      <c r="L27" s="10">
        <f t="shared" si="33"/>
        <v>0.63619151932404994</v>
      </c>
      <c r="M27" s="10" t="e">
        <f t="shared" si="33"/>
        <v>#DIV/0!</v>
      </c>
      <c r="N27" s="10">
        <f t="shared" si="33"/>
        <v>2.2755267550011347</v>
      </c>
      <c r="O27" s="10">
        <f t="shared" si="33"/>
        <v>2.6842287231952722</v>
      </c>
      <c r="P27" s="10">
        <f t="shared" si="33"/>
        <v>-0.23234203675948339</v>
      </c>
      <c r="Q27" s="10" t="e">
        <f t="shared" si="33"/>
        <v>#DIV/0!</v>
      </c>
      <c r="R27" s="10">
        <f>+R25/R26</f>
        <v>2.5310932442967511</v>
      </c>
      <c r="S27" s="10">
        <f t="shared" ref="S27" si="34">+S25/S26</f>
        <v>3.1469761407049632</v>
      </c>
      <c r="U27" s="10">
        <f t="shared" ref="U27:AD27" si="35">+U25/U26</f>
        <v>7.4854906174450289</v>
      </c>
      <c r="V27" s="10">
        <f t="shared" si="35"/>
        <v>6.5181968019872363</v>
      </c>
      <c r="W27" s="10">
        <f t="shared" si="35"/>
        <v>12.200456477254834</v>
      </c>
      <c r="X27" s="10">
        <f t="shared" si="35"/>
        <v>15.162794919321419</v>
      </c>
      <c r="Y27" s="10">
        <f t="shared" si="35"/>
        <v>16.733869065030291</v>
      </c>
      <c r="Z27" s="10">
        <f t="shared" si="35"/>
        <v>18.422705719088455</v>
      </c>
      <c r="AA27" s="10">
        <f t="shared" si="35"/>
        <v>20.287321896703549</v>
      </c>
      <c r="AB27" s="10">
        <f t="shared" si="35"/>
        <v>22.320581118476312</v>
      </c>
      <c r="AC27" s="10">
        <f t="shared" si="35"/>
        <v>24.718674950710533</v>
      </c>
      <c r="AD27" s="10">
        <f t="shared" si="35"/>
        <v>27.566607739813143</v>
      </c>
    </row>
    <row r="29" spans="1:154" x14ac:dyDescent="0.2">
      <c r="A29" s="6" t="s">
        <v>48</v>
      </c>
      <c r="F29" s="12" t="e">
        <f t="shared" ref="F29:Q31" si="36">+F2/B2-1</f>
        <v>#DIV/0!</v>
      </c>
      <c r="G29" s="12" t="e">
        <f t="shared" si="36"/>
        <v>#DIV/0!</v>
      </c>
      <c r="H29" s="12" t="e">
        <f t="shared" si="36"/>
        <v>#DIV/0!</v>
      </c>
      <c r="I29" s="12" t="e">
        <f t="shared" si="36"/>
        <v>#DIV/0!</v>
      </c>
      <c r="J29" s="12" t="e">
        <f t="shared" si="36"/>
        <v>#DIV/0!</v>
      </c>
      <c r="K29" s="12" t="e">
        <f t="shared" si="36"/>
        <v>#DIV/0!</v>
      </c>
      <c r="L29" s="12" t="e">
        <f t="shared" si="36"/>
        <v>#DIV/0!</v>
      </c>
      <c r="M29" s="12" t="e">
        <f t="shared" si="36"/>
        <v>#DIV/0!</v>
      </c>
      <c r="N29" s="12" t="e">
        <f t="shared" si="36"/>
        <v>#DIV/0!</v>
      </c>
      <c r="O29" s="12" t="e">
        <f>+O10/K2-1</f>
        <v>#DIV/0!</v>
      </c>
      <c r="P29" s="12">
        <f t="shared" si="36"/>
        <v>0.19014387862238391</v>
      </c>
      <c r="Q29" s="12" t="e">
        <f t="shared" si="36"/>
        <v>#DIV/0!</v>
      </c>
      <c r="R29" s="12">
        <f>+R2/N2-1</f>
        <v>9.6584883575229208E-2</v>
      </c>
      <c r="S29" s="12">
        <f t="shared" ref="S29:S31" si="37">+S2/O2-1</f>
        <v>5.7145639953964933E-2</v>
      </c>
      <c r="U29" s="12"/>
      <c r="V29" s="12">
        <f t="shared" ref="V29" si="38">+V2/U2-1</f>
        <v>0.26081089956713743</v>
      </c>
      <c r="W29" s="12">
        <f>+W2/V2-1</f>
        <v>0.16874567355469394</v>
      </c>
      <c r="X29" s="12" t="e">
        <f t="shared" ref="X29:AD31" si="39">+X2/T2-1</f>
        <v>#DIV/0!</v>
      </c>
      <c r="Y29" s="12">
        <f t="shared" si="39"/>
        <v>-1</v>
      </c>
      <c r="Z29" s="12">
        <f t="shared" si="39"/>
        <v>-1</v>
      </c>
      <c r="AA29" s="12">
        <f t="shared" si="39"/>
        <v>-1</v>
      </c>
      <c r="AB29" s="12" t="e">
        <f t="shared" si="39"/>
        <v>#DIV/0!</v>
      </c>
      <c r="AC29" s="12" t="e">
        <f t="shared" si="39"/>
        <v>#DIV/0!</v>
      </c>
      <c r="AD29" s="12" t="e">
        <f t="shared" si="39"/>
        <v>#DIV/0!</v>
      </c>
    </row>
    <row r="30" spans="1:154" x14ac:dyDescent="0.2">
      <c r="A30" s="6" t="s">
        <v>49</v>
      </c>
      <c r="F30" s="12" t="e">
        <f t="shared" si="36"/>
        <v>#DIV/0!</v>
      </c>
      <c r="G30" s="12" t="e">
        <f t="shared" si="36"/>
        <v>#DIV/0!</v>
      </c>
      <c r="H30" s="12" t="e">
        <f t="shared" si="36"/>
        <v>#DIV/0!</v>
      </c>
      <c r="I30" s="12" t="e">
        <f t="shared" si="36"/>
        <v>#DIV/0!</v>
      </c>
      <c r="J30" s="12" t="e">
        <f t="shared" si="36"/>
        <v>#DIV/0!</v>
      </c>
      <c r="K30" s="12" t="e">
        <f t="shared" si="36"/>
        <v>#DIV/0!</v>
      </c>
      <c r="L30" s="12" t="e">
        <f t="shared" si="36"/>
        <v>#DIV/0!</v>
      </c>
      <c r="M30" s="12" t="e">
        <f t="shared" si="36"/>
        <v>#DIV/0!</v>
      </c>
      <c r="N30" s="12" t="e">
        <f t="shared" si="36"/>
        <v>#DIV/0!</v>
      </c>
      <c r="O30" s="12" t="e">
        <f>+O11/K3-1</f>
        <v>#DIV/0!</v>
      </c>
      <c r="P30" s="12">
        <f t="shared" si="36"/>
        <v>0.14586756975150017</v>
      </c>
      <c r="Q30" s="12" t="e">
        <f t="shared" si="36"/>
        <v>#DIV/0!</v>
      </c>
      <c r="R30" s="12">
        <f t="shared" ref="R30:R31" si="40">+R3/N3-1</f>
        <v>0.15412687001472047</v>
      </c>
      <c r="S30" s="12">
        <f t="shared" si="37"/>
        <v>0.10702758312716809</v>
      </c>
      <c r="U30" s="12"/>
      <c r="V30" s="12">
        <f t="shared" ref="V30:W30" si="41">+V3/U3-1</f>
        <v>0.27395383663769257</v>
      </c>
      <c r="W30" s="12">
        <f t="shared" si="41"/>
        <v>0.15135985754895476</v>
      </c>
      <c r="X30" s="12" t="e">
        <f t="shared" si="39"/>
        <v>#DIV/0!</v>
      </c>
      <c r="Y30" s="12">
        <f t="shared" si="39"/>
        <v>-1</v>
      </c>
      <c r="Z30" s="12">
        <f t="shared" si="39"/>
        <v>-1</v>
      </c>
      <c r="AA30" s="12">
        <f t="shared" si="39"/>
        <v>-1</v>
      </c>
      <c r="AB30" s="12" t="e">
        <f t="shared" si="39"/>
        <v>#DIV/0!</v>
      </c>
      <c r="AC30" s="12" t="e">
        <f t="shared" si="39"/>
        <v>#DIV/0!</v>
      </c>
      <c r="AD30" s="12" t="e">
        <f t="shared" si="39"/>
        <v>#DIV/0!</v>
      </c>
    </row>
    <row r="31" spans="1:154" x14ac:dyDescent="0.2">
      <c r="A31" s="6" t="s">
        <v>50</v>
      </c>
      <c r="F31" s="12" t="e">
        <f t="shared" si="36"/>
        <v>#DIV/0!</v>
      </c>
      <c r="G31" s="12" t="e">
        <f t="shared" si="36"/>
        <v>#DIV/0!</v>
      </c>
      <c r="H31" s="12" t="e">
        <f t="shared" si="36"/>
        <v>#DIV/0!</v>
      </c>
      <c r="I31" s="12" t="e">
        <f t="shared" si="36"/>
        <v>#DIV/0!</v>
      </c>
      <c r="J31" s="12" t="e">
        <f t="shared" si="36"/>
        <v>#DIV/0!</v>
      </c>
      <c r="K31" s="12" t="e">
        <f t="shared" si="36"/>
        <v>#DIV/0!</v>
      </c>
      <c r="L31" s="12" t="e">
        <f t="shared" si="36"/>
        <v>#DIV/0!</v>
      </c>
      <c r="M31" s="12" t="e">
        <f t="shared" si="36"/>
        <v>#DIV/0!</v>
      </c>
      <c r="N31" s="12" t="e">
        <f t="shared" si="36"/>
        <v>#DIV/0!</v>
      </c>
      <c r="O31" s="12" t="e">
        <f>+O12/K4-1</f>
        <v>#DIV/0!</v>
      </c>
      <c r="P31" s="12">
        <f t="shared" si="36"/>
        <v>0.25520355572367492</v>
      </c>
      <c r="Q31" s="12" t="e">
        <f t="shared" si="36"/>
        <v>#DIV/0!</v>
      </c>
      <c r="R31" s="12">
        <f t="shared" si="40"/>
        <v>5.5764601121359725E-2</v>
      </c>
      <c r="S31" s="12">
        <f t="shared" si="37"/>
        <v>8.9739999645534585E-2</v>
      </c>
      <c r="U31" s="12"/>
      <c r="V31" s="12">
        <f t="shared" ref="V31:W31" si="42">+V4/U4-1</f>
        <v>0.62860629684611258</v>
      </c>
      <c r="W31" s="12">
        <f t="shared" si="42"/>
        <v>0.36353346836473688</v>
      </c>
      <c r="X31" s="12" t="e">
        <f t="shared" si="39"/>
        <v>#DIV/0!</v>
      </c>
      <c r="Y31" s="12">
        <f t="shared" si="39"/>
        <v>-1</v>
      </c>
      <c r="Z31" s="12">
        <f t="shared" si="39"/>
        <v>-1</v>
      </c>
      <c r="AA31" s="12">
        <f t="shared" si="39"/>
        <v>-1</v>
      </c>
      <c r="AB31" s="12" t="e">
        <f t="shared" si="39"/>
        <v>#DIV/0!</v>
      </c>
      <c r="AC31" s="12" t="e">
        <f t="shared" si="39"/>
        <v>#DIV/0!</v>
      </c>
      <c r="AD31" s="12" t="e">
        <f t="shared" si="39"/>
        <v>#DIV/0!</v>
      </c>
    </row>
    <row r="33" spans="1:30" x14ac:dyDescent="0.2">
      <c r="A33" s="6" t="s">
        <v>40</v>
      </c>
      <c r="F33" s="12" t="e">
        <f t="shared" ref="F33:R37" si="43">+F10/B10-1</f>
        <v>#DIV/0!</v>
      </c>
      <c r="G33" s="12" t="e">
        <f t="shared" si="43"/>
        <v>#DIV/0!</v>
      </c>
      <c r="H33" s="12" t="e">
        <f t="shared" si="43"/>
        <v>#DIV/0!</v>
      </c>
      <c r="I33" s="12" t="e">
        <f t="shared" si="43"/>
        <v>#DIV/0!</v>
      </c>
      <c r="J33" s="12" t="e">
        <f t="shared" si="43"/>
        <v>#DIV/0!</v>
      </c>
      <c r="K33" s="12" t="e">
        <f t="shared" si="43"/>
        <v>#DIV/0!</v>
      </c>
      <c r="L33" s="12" t="e">
        <f t="shared" si="43"/>
        <v>#DIV/0!</v>
      </c>
      <c r="M33" s="12" t="e">
        <f t="shared" si="43"/>
        <v>#DIV/0!</v>
      </c>
      <c r="N33" s="12" t="e">
        <f t="shared" si="43"/>
        <v>#DIV/0!</v>
      </c>
      <c r="O33" s="12" t="e">
        <f>+#REF!/K10-1</f>
        <v>#REF!</v>
      </c>
      <c r="P33" s="12">
        <f t="shared" si="43"/>
        <v>0.12223928508362558</v>
      </c>
      <c r="Q33" s="12" t="e">
        <f t="shared" si="43"/>
        <v>#DIV/0!</v>
      </c>
      <c r="R33" s="12">
        <f t="shared" si="43"/>
        <v>1.9787871341176322E-2</v>
      </c>
      <c r="S33" s="12">
        <f>+S10/O10-1</f>
        <v>-2.0674757847073399E-3</v>
      </c>
      <c r="U33" s="12"/>
      <c r="V33" s="12">
        <f>+V10/U10-1</f>
        <v>0.30113903739500802</v>
      </c>
      <c r="W33" s="12">
        <f t="shared" ref="W33:AC33" si="44">+W10/V10-1</f>
        <v>0.12239246893936229</v>
      </c>
      <c r="X33" s="12">
        <f t="shared" si="44"/>
        <v>1.0000000000000009E-2</v>
      </c>
      <c r="Y33" s="12">
        <f t="shared" si="44"/>
        <v>1.0000000000000009E-2</v>
      </c>
      <c r="Z33" s="12">
        <f t="shared" si="44"/>
        <v>1.0000000000000009E-2</v>
      </c>
      <c r="AA33" s="12">
        <f t="shared" si="44"/>
        <v>1.0000000000000009E-2</v>
      </c>
      <c r="AB33" s="12">
        <f t="shared" si="44"/>
        <v>1.0000000000000009E-2</v>
      </c>
      <c r="AC33" s="12">
        <f t="shared" si="44"/>
        <v>1.0000000000000009E-2</v>
      </c>
      <c r="AD33" s="12">
        <f t="shared" ref="AD33" si="45">+AD10/AC10-1</f>
        <v>1.0000000000000009E-2</v>
      </c>
    </row>
    <row r="34" spans="1:30" x14ac:dyDescent="0.2">
      <c r="A34" s="6" t="s">
        <v>41</v>
      </c>
      <c r="F34" s="12" t="e">
        <f t="shared" si="43"/>
        <v>#DIV/0!</v>
      </c>
      <c r="G34" s="12" t="e">
        <f t="shared" si="43"/>
        <v>#DIV/0!</v>
      </c>
      <c r="H34" s="12" t="e">
        <f t="shared" si="43"/>
        <v>#DIV/0!</v>
      </c>
      <c r="I34" s="12" t="e">
        <f t="shared" si="43"/>
        <v>#DIV/0!</v>
      </c>
      <c r="J34" s="12" t="e">
        <f t="shared" si="43"/>
        <v>#DIV/0!</v>
      </c>
      <c r="K34" s="12" t="e">
        <f t="shared" si="43"/>
        <v>#DIV/0!</v>
      </c>
      <c r="L34" s="12" t="e">
        <f t="shared" si="43"/>
        <v>#DIV/0!</v>
      </c>
      <c r="M34" s="12" t="e">
        <f t="shared" si="43"/>
        <v>#DIV/0!</v>
      </c>
      <c r="N34" s="12" t="e">
        <f t="shared" si="43"/>
        <v>#DIV/0!</v>
      </c>
      <c r="O34" s="12" t="e">
        <f>+#REF!/K11-1</f>
        <v>#REF!</v>
      </c>
      <c r="P34" s="12">
        <f t="shared" si="43"/>
        <v>0.13612166740857123</v>
      </c>
      <c r="Q34" s="12" t="e">
        <f t="shared" si="43"/>
        <v>#DIV/0!</v>
      </c>
      <c r="R34" s="12">
        <f t="shared" si="43"/>
        <v>0.11256103289164643</v>
      </c>
      <c r="S34" s="12">
        <f>+S11/O11-1</f>
        <v>8.3453452129409467E-2</v>
      </c>
      <c r="U34" s="12"/>
      <c r="V34" s="12">
        <f t="shared" ref="V34:AC34" si="46">+V11/U11-1</f>
        <v>0.21891410671973621</v>
      </c>
      <c r="W34" s="12">
        <f t="shared" si="46"/>
        <v>0.10501491259217732</v>
      </c>
      <c r="X34" s="12">
        <f t="shared" si="46"/>
        <v>8.0000000000000071E-2</v>
      </c>
      <c r="Y34" s="12">
        <f t="shared" si="46"/>
        <v>8.0000000000000071E-2</v>
      </c>
      <c r="Z34" s="12">
        <f t="shared" si="46"/>
        <v>8.0000000000000071E-2</v>
      </c>
      <c r="AA34" s="12">
        <f t="shared" si="46"/>
        <v>8.0000000000000071E-2</v>
      </c>
      <c r="AB34" s="12">
        <f t="shared" si="46"/>
        <v>8.0000000000000071E-2</v>
      </c>
      <c r="AC34" s="12">
        <f t="shared" si="46"/>
        <v>8.0000000000000071E-2</v>
      </c>
      <c r="AD34" s="12">
        <f t="shared" ref="AD34" si="47">+AD11/AC11-1</f>
        <v>8.0000000000000071E-2</v>
      </c>
    </row>
    <row r="35" spans="1:30" x14ac:dyDescent="0.2">
      <c r="A35" s="6" t="s">
        <v>42</v>
      </c>
      <c r="F35" s="12" t="e">
        <f t="shared" si="43"/>
        <v>#DIV/0!</v>
      </c>
      <c r="G35" s="12" t="e">
        <f t="shared" si="43"/>
        <v>#DIV/0!</v>
      </c>
      <c r="H35" s="12" t="e">
        <f t="shared" si="43"/>
        <v>#DIV/0!</v>
      </c>
      <c r="I35" s="12" t="e">
        <f t="shared" si="43"/>
        <v>#DIV/0!</v>
      </c>
      <c r="J35" s="12" t="e">
        <f t="shared" si="43"/>
        <v>#DIV/0!</v>
      </c>
      <c r="K35" s="12" t="e">
        <f t="shared" si="43"/>
        <v>#DIV/0!</v>
      </c>
      <c r="L35" s="12" t="e">
        <f t="shared" si="43"/>
        <v>#DIV/0!</v>
      </c>
      <c r="M35" s="12" t="e">
        <f t="shared" si="43"/>
        <v>#DIV/0!</v>
      </c>
      <c r="N35" s="12" t="e">
        <f t="shared" si="43"/>
        <v>#DIV/0!</v>
      </c>
      <c r="O35" s="12" t="e">
        <f>+#REF!/K12-1</f>
        <v>#REF!</v>
      </c>
      <c r="P35" s="12" t="e">
        <f t="shared" si="43"/>
        <v>#DIV/0!</v>
      </c>
      <c r="Q35" s="12" t="e">
        <f t="shared" si="43"/>
        <v>#DIV/0!</v>
      </c>
      <c r="R35" s="12">
        <f t="shared" si="43"/>
        <v>0.44613172877354001</v>
      </c>
      <c r="S35" s="12">
        <f t="shared" ref="S33:S37" si="48">+S12/O12-1</f>
        <v>0.34013947834246849</v>
      </c>
      <c r="U35" s="12"/>
      <c r="V35" s="12">
        <f t="shared" ref="V35:AC35" si="49">+V12/U12-1</f>
        <v>0.32754956120858192</v>
      </c>
      <c r="W35" s="12">
        <f t="shared" si="49"/>
        <v>0.67173457900479261</v>
      </c>
      <c r="X35" s="12">
        <f t="shared" si="49"/>
        <v>0.29999999999999982</v>
      </c>
      <c r="Y35" s="12">
        <f t="shared" si="49"/>
        <v>0.25</v>
      </c>
      <c r="Z35" s="12">
        <f t="shared" si="49"/>
        <v>0.19999999999999996</v>
      </c>
      <c r="AA35" s="12">
        <f t="shared" si="49"/>
        <v>0.14999999999999991</v>
      </c>
      <c r="AB35" s="12">
        <f t="shared" si="49"/>
        <v>0.10000000000000009</v>
      </c>
      <c r="AC35" s="12">
        <f t="shared" si="49"/>
        <v>0.10000000000000009</v>
      </c>
      <c r="AD35" s="12">
        <f t="shared" ref="AD35" si="50">+AD12/AC12-1</f>
        <v>0.10000000000000009</v>
      </c>
    </row>
    <row r="36" spans="1:30" x14ac:dyDescent="0.2">
      <c r="A36" s="6" t="s">
        <v>43</v>
      </c>
      <c r="F36" s="12" t="e">
        <f t="shared" si="43"/>
        <v>#DIV/0!</v>
      </c>
      <c r="G36" s="12" t="e">
        <f t="shared" si="43"/>
        <v>#DIV/0!</v>
      </c>
      <c r="H36" s="12" t="e">
        <f t="shared" si="43"/>
        <v>#DIV/0!</v>
      </c>
      <c r="I36" s="12" t="e">
        <f t="shared" si="43"/>
        <v>#DIV/0!</v>
      </c>
      <c r="J36" s="12" t="e">
        <f t="shared" si="43"/>
        <v>#DIV/0!</v>
      </c>
      <c r="K36" s="12" t="e">
        <f t="shared" si="43"/>
        <v>#DIV/0!</v>
      </c>
      <c r="L36" s="12" t="e">
        <f t="shared" si="43"/>
        <v>#DIV/0!</v>
      </c>
      <c r="M36" s="12" t="e">
        <f t="shared" si="43"/>
        <v>#DIV/0!</v>
      </c>
      <c r="N36" s="12" t="e">
        <f t="shared" si="43"/>
        <v>#DIV/0!</v>
      </c>
      <c r="O36" s="12" t="e">
        <f t="shared" si="43"/>
        <v>#DIV/0!</v>
      </c>
      <c r="P36" s="12" t="e">
        <f t="shared" si="43"/>
        <v>#DIV/0!</v>
      </c>
      <c r="Q36" s="12" t="e">
        <f t="shared" si="43"/>
        <v>#DIV/0!</v>
      </c>
      <c r="R36" s="12">
        <f t="shared" si="43"/>
        <v>6.6814751243153392E-2</v>
      </c>
      <c r="S36" s="12">
        <f t="shared" si="48"/>
        <v>-2.3690628266171299E-2</v>
      </c>
      <c r="U36" s="12"/>
      <c r="V36" s="12">
        <f t="shared" ref="V36:AC36" si="51">+V13/U13-1</f>
        <v>0.22086609144011793</v>
      </c>
      <c r="W36" s="12">
        <f t="shared" si="51"/>
        <v>0.62211547607723761</v>
      </c>
      <c r="X36" s="12">
        <f t="shared" si="51"/>
        <v>6.0000000000000053E-2</v>
      </c>
      <c r="Y36" s="12">
        <f t="shared" si="51"/>
        <v>6.0000000000000053E-2</v>
      </c>
      <c r="Z36" s="12">
        <f t="shared" si="51"/>
        <v>6.0000000000000053E-2</v>
      </c>
      <c r="AA36" s="12">
        <f t="shared" si="51"/>
        <v>6.0000000000000053E-2</v>
      </c>
      <c r="AB36" s="12">
        <f t="shared" si="51"/>
        <v>6.0000000000000053E-2</v>
      </c>
      <c r="AC36" s="12">
        <f t="shared" si="51"/>
        <v>6.0000000000000053E-2</v>
      </c>
      <c r="AD36" s="12">
        <f t="shared" ref="AD36" si="52">+AD13/AC13-1</f>
        <v>6.0000000000000053E-2</v>
      </c>
    </row>
    <row r="37" spans="1:30" x14ac:dyDescent="0.2">
      <c r="A37" s="6" t="s">
        <v>44</v>
      </c>
      <c r="F37" s="12" t="e">
        <f t="shared" si="43"/>
        <v>#DIV/0!</v>
      </c>
      <c r="G37" s="12" t="e">
        <f t="shared" si="43"/>
        <v>#DIV/0!</v>
      </c>
      <c r="H37" s="12" t="e">
        <f t="shared" si="43"/>
        <v>#DIV/0!</v>
      </c>
      <c r="I37" s="12" t="e">
        <f t="shared" si="43"/>
        <v>#DIV/0!</v>
      </c>
      <c r="J37" s="12" t="e">
        <f t="shared" si="43"/>
        <v>#DIV/0!</v>
      </c>
      <c r="K37" s="12" t="e">
        <f t="shared" si="43"/>
        <v>#DIV/0!</v>
      </c>
      <c r="L37" s="12" t="e">
        <f t="shared" si="43"/>
        <v>#DIV/0!</v>
      </c>
      <c r="M37" s="12" t="e">
        <f t="shared" si="43"/>
        <v>#DIV/0!</v>
      </c>
      <c r="N37" s="12" t="e">
        <f t="shared" si="43"/>
        <v>#DIV/0!</v>
      </c>
      <c r="O37" s="12" t="e">
        <f t="shared" si="43"/>
        <v>#DIV/0!</v>
      </c>
      <c r="P37" s="12">
        <f t="shared" si="43"/>
        <v>0.43908793415822833</v>
      </c>
      <c r="Q37" s="12" t="e">
        <f t="shared" si="43"/>
        <v>#DIV/0!</v>
      </c>
      <c r="R37" s="12">
        <f t="shared" si="43"/>
        <v>0.31198294150047179</v>
      </c>
      <c r="S37" s="12">
        <f t="shared" si="48"/>
        <v>0.29037906103109123</v>
      </c>
      <c r="U37" s="12"/>
      <c r="V37" s="12">
        <f t="shared" ref="V37:AC37" si="53">+V14/U14-1</f>
        <v>0.40127515532647795</v>
      </c>
      <c r="W37" s="12">
        <f t="shared" si="53"/>
        <v>0.39564071824948344</v>
      </c>
      <c r="X37" s="12">
        <f t="shared" si="53"/>
        <v>0.35000000000000009</v>
      </c>
      <c r="Y37" s="12">
        <f t="shared" si="53"/>
        <v>0.30000000000000004</v>
      </c>
      <c r="Z37" s="12">
        <f t="shared" si="53"/>
        <v>0.25</v>
      </c>
      <c r="AA37" s="12">
        <f t="shared" si="53"/>
        <v>0.25</v>
      </c>
      <c r="AB37" s="12">
        <f t="shared" si="53"/>
        <v>0.25</v>
      </c>
      <c r="AC37" s="12">
        <f t="shared" si="53"/>
        <v>0.25</v>
      </c>
      <c r="AD37" s="12">
        <f t="shared" ref="AD37" si="54">+AD14/AC14-1</f>
        <v>0.25</v>
      </c>
    </row>
    <row r="39" spans="1:30" x14ac:dyDescent="0.2">
      <c r="A39" s="5" t="s">
        <v>25</v>
      </c>
      <c r="F39" s="13" t="e">
        <f t="shared" ref="F39:R39" si="55">+F16/B16-1</f>
        <v>#DIV/0!</v>
      </c>
      <c r="G39" s="13" t="e">
        <f t="shared" si="55"/>
        <v>#DIV/0!</v>
      </c>
      <c r="H39" s="13" t="e">
        <f t="shared" si="55"/>
        <v>#DIV/0!</v>
      </c>
      <c r="I39" s="13" t="e">
        <f t="shared" si="55"/>
        <v>#DIV/0!</v>
      </c>
      <c r="J39" s="13" t="e">
        <f t="shared" si="55"/>
        <v>#DIV/0!</v>
      </c>
      <c r="K39" s="13" t="e">
        <f t="shared" si="55"/>
        <v>#DIV/0!</v>
      </c>
      <c r="L39" s="13" t="e">
        <f t="shared" si="55"/>
        <v>#DIV/0!</v>
      </c>
      <c r="M39" s="13" t="e">
        <f t="shared" si="55"/>
        <v>#DIV/0!</v>
      </c>
      <c r="N39" s="13" t="e">
        <f t="shared" si="55"/>
        <v>#DIV/0!</v>
      </c>
      <c r="O39" s="13" t="e">
        <f t="shared" si="55"/>
        <v>#DIV/0!</v>
      </c>
      <c r="P39" s="13">
        <f t="shared" si="55"/>
        <v>0.15129518159997679</v>
      </c>
      <c r="Q39" s="13" t="e">
        <f t="shared" si="55"/>
        <v>#DIV/0!</v>
      </c>
      <c r="R39" s="13">
        <f t="shared" si="55"/>
        <v>0.10400831270816768</v>
      </c>
      <c r="S39" s="13">
        <f t="shared" ref="S39" si="56">+S16/O16-1</f>
        <v>7.3291492486980081E-2</v>
      </c>
      <c r="U39" s="13"/>
      <c r="V39" s="13">
        <f>+V16/U16-1</f>
        <v>0.29631045020016411</v>
      </c>
      <c r="W39" s="13">
        <f t="shared" ref="W39:AD39" si="57">+W16/V16-1</f>
        <v>0.18602510961691943</v>
      </c>
      <c r="X39" s="13">
        <f t="shared" si="57"/>
        <v>7.9456337575439795E-2</v>
      </c>
      <c r="Y39" s="13">
        <f t="shared" si="57"/>
        <v>8.1360524749502616E-2</v>
      </c>
      <c r="Z39" s="13">
        <f t="shared" si="57"/>
        <v>7.871019625264708E-2</v>
      </c>
      <c r="AA39" s="13">
        <f t="shared" si="57"/>
        <v>7.901126492805477E-2</v>
      </c>
      <c r="AB39" s="13">
        <f t="shared" si="57"/>
        <v>7.8043893589412328E-2</v>
      </c>
      <c r="AC39" s="13">
        <f t="shared" si="57"/>
        <v>8.5204499985539028E-2</v>
      </c>
      <c r="AD39" s="13">
        <f t="shared" si="57"/>
        <v>9.2914116647784484E-2</v>
      </c>
    </row>
    <row r="40" spans="1:30" x14ac:dyDescent="0.2">
      <c r="A40" s="6" t="s">
        <v>26</v>
      </c>
      <c r="B40" s="6" t="e">
        <f t="shared" ref="B40:Q40" si="58">+B18/B16</f>
        <v>#DIV/0!</v>
      </c>
      <c r="C40" s="6" t="e">
        <f t="shared" si="58"/>
        <v>#DIV/0!</v>
      </c>
      <c r="D40" s="6" t="e">
        <f t="shared" si="58"/>
        <v>#DIV/0!</v>
      </c>
      <c r="E40" s="6" t="e">
        <f t="shared" si="58"/>
        <v>#DIV/0!</v>
      </c>
      <c r="F40" s="12" t="e">
        <f t="shared" si="58"/>
        <v>#DIV/0!</v>
      </c>
      <c r="G40" s="12" t="e">
        <f t="shared" si="58"/>
        <v>#DIV/0!</v>
      </c>
      <c r="H40" s="12" t="e">
        <f t="shared" si="58"/>
        <v>#DIV/0!</v>
      </c>
      <c r="I40" s="12" t="e">
        <f t="shared" si="58"/>
        <v>#DIV/0!</v>
      </c>
      <c r="J40" s="12" t="e">
        <f t="shared" si="58"/>
        <v>#DIV/0!</v>
      </c>
      <c r="K40" s="12" t="e">
        <f t="shared" si="58"/>
        <v>#DIV/0!</v>
      </c>
      <c r="L40" s="12">
        <f t="shared" si="58"/>
        <v>0.51386520888290921</v>
      </c>
      <c r="M40" s="12" t="e">
        <f t="shared" si="58"/>
        <v>#DIV/0!</v>
      </c>
      <c r="N40" s="12">
        <f t="shared" si="58"/>
        <v>0.57517473080660053</v>
      </c>
      <c r="O40" s="12">
        <f t="shared" si="58"/>
        <v>0.58778361960288161</v>
      </c>
      <c r="P40" s="12">
        <f t="shared" si="58"/>
        <v>0.51089619873155134</v>
      </c>
      <c r="Q40" s="12" t="e">
        <f t="shared" si="58"/>
        <v>#DIV/0!</v>
      </c>
      <c r="R40" s="12">
        <f>+R18/R16</f>
        <v>0.57724351269483198</v>
      </c>
      <c r="S40" s="12">
        <f t="shared" ref="S40" si="59">+S18/S16</f>
        <v>0.59558774532090453</v>
      </c>
      <c r="U40" s="12">
        <f t="shared" ref="U40" si="60">+U18/U16</f>
        <v>0.57675977289324243</v>
      </c>
      <c r="V40" s="12">
        <f t="shared" ref="V40:AC40" si="61">+V18/V16</f>
        <v>0.55389063929085669</v>
      </c>
      <c r="W40" s="12">
        <f t="shared" si="61"/>
        <v>0.58314199880697903</v>
      </c>
      <c r="X40" s="12">
        <f t="shared" si="61"/>
        <v>0.6</v>
      </c>
      <c r="Y40" s="12">
        <f t="shared" si="61"/>
        <v>0.6</v>
      </c>
      <c r="Z40" s="12">
        <f t="shared" si="61"/>
        <v>0.6</v>
      </c>
      <c r="AA40" s="12">
        <f t="shared" si="61"/>
        <v>0.6</v>
      </c>
      <c r="AB40" s="12">
        <f t="shared" si="61"/>
        <v>0.6</v>
      </c>
      <c r="AC40" s="12">
        <f t="shared" si="61"/>
        <v>0.6</v>
      </c>
      <c r="AD40" s="12">
        <f t="shared" ref="AD40" si="62">+AD18/AD16</f>
        <v>0.6</v>
      </c>
    </row>
    <row r="41" spans="1:30" x14ac:dyDescent="0.2">
      <c r="A41" s="6" t="s">
        <v>27</v>
      </c>
      <c r="B41" s="6" t="e">
        <f t="shared" ref="B41:Q41" si="63">+B21/B16</f>
        <v>#DIV/0!</v>
      </c>
      <c r="C41" s="6" t="e">
        <f t="shared" si="63"/>
        <v>#DIV/0!</v>
      </c>
      <c r="D41" s="6" t="e">
        <f t="shared" si="63"/>
        <v>#DIV/0!</v>
      </c>
      <c r="E41" s="6" t="e">
        <f t="shared" si="63"/>
        <v>#DIV/0!</v>
      </c>
      <c r="F41" s="12" t="e">
        <f t="shared" si="63"/>
        <v>#DIV/0!</v>
      </c>
      <c r="G41" s="12" t="e">
        <f t="shared" si="63"/>
        <v>#DIV/0!</v>
      </c>
      <c r="H41" s="12" t="e">
        <f t="shared" si="63"/>
        <v>#DIV/0!</v>
      </c>
      <c r="I41" s="12" t="e">
        <f t="shared" si="63"/>
        <v>#DIV/0!</v>
      </c>
      <c r="J41" s="12" t="e">
        <f t="shared" si="63"/>
        <v>#DIV/0!</v>
      </c>
      <c r="K41" s="12" t="e">
        <f t="shared" si="63"/>
        <v>#DIV/0!</v>
      </c>
      <c r="L41" s="12">
        <f t="shared" si="63"/>
        <v>0.10594347185567327</v>
      </c>
      <c r="M41" s="12" t="e">
        <f t="shared" si="63"/>
        <v>#DIV/0!</v>
      </c>
      <c r="N41" s="12">
        <f t="shared" si="63"/>
        <v>0.20062755148961003</v>
      </c>
      <c r="O41" s="12">
        <f t="shared" si="63"/>
        <v>0.21694033718622191</v>
      </c>
      <c r="P41" s="12">
        <f t="shared" si="63"/>
        <v>3.0943150020621341E-2</v>
      </c>
      <c r="Q41" s="12" t="e">
        <f t="shared" si="63"/>
        <v>#DIV/0!</v>
      </c>
      <c r="R41" s="12">
        <f>+R21/R16</f>
        <v>0.19586389731317669</v>
      </c>
      <c r="S41" s="12">
        <f t="shared" ref="S41" si="64">+S21/S16</f>
        <v>0.22783982644181239</v>
      </c>
      <c r="U41" s="12">
        <f t="shared" ref="U41" si="65">+U21/U16</f>
        <v>0.21311117493687085</v>
      </c>
      <c r="V41" s="12">
        <f t="shared" ref="V41:AC41" si="66">+V21/V16</f>
        <v>0.16127798495731099</v>
      </c>
      <c r="W41" s="12">
        <f t="shared" si="66"/>
        <v>0.22170853155507092</v>
      </c>
      <c r="X41" s="12">
        <f t="shared" si="66"/>
        <v>0.25</v>
      </c>
      <c r="Y41" s="12">
        <f t="shared" si="66"/>
        <v>0.24999999999999997</v>
      </c>
      <c r="Z41" s="12">
        <f t="shared" si="66"/>
        <v>0.25</v>
      </c>
      <c r="AA41" s="12">
        <f t="shared" si="66"/>
        <v>0.25000000000000006</v>
      </c>
      <c r="AB41" s="12">
        <f t="shared" si="66"/>
        <v>0.24999999999999997</v>
      </c>
      <c r="AC41" s="12">
        <f t="shared" si="66"/>
        <v>0.25</v>
      </c>
      <c r="AD41" s="12">
        <f t="shared" ref="AD41" si="67">+AD21/AD16</f>
        <v>0.25</v>
      </c>
    </row>
    <row r="42" spans="1:30" x14ac:dyDescent="0.2">
      <c r="A42" s="6" t="s">
        <v>28</v>
      </c>
      <c r="B42" s="6" t="e">
        <f t="shared" ref="B42:Q42" si="68">+B25/B16</f>
        <v>#DIV/0!</v>
      </c>
      <c r="C42" s="6" t="e">
        <f t="shared" si="68"/>
        <v>#DIV/0!</v>
      </c>
      <c r="D42" s="6" t="e">
        <f t="shared" si="68"/>
        <v>#DIV/0!</v>
      </c>
      <c r="E42" s="6" t="e">
        <f t="shared" si="68"/>
        <v>#DIV/0!</v>
      </c>
      <c r="F42" s="12" t="e">
        <f t="shared" si="68"/>
        <v>#DIV/0!</v>
      </c>
      <c r="G42" s="12" t="e">
        <f t="shared" si="68"/>
        <v>#DIV/0!</v>
      </c>
      <c r="H42" s="12" t="e">
        <f t="shared" si="68"/>
        <v>#DIV/0!</v>
      </c>
      <c r="I42" s="12" t="e">
        <f t="shared" si="68"/>
        <v>#DIV/0!</v>
      </c>
      <c r="J42" s="12" t="e">
        <f t="shared" si="68"/>
        <v>#DIV/0!</v>
      </c>
      <c r="K42" s="12" t="e">
        <f t="shared" si="68"/>
        <v>#DIV/0!</v>
      </c>
      <c r="L42" s="12">
        <f t="shared" si="68"/>
        <v>4.8324842206476738E-2</v>
      </c>
      <c r="M42" s="12" t="e">
        <f t="shared" si="68"/>
        <v>#DIV/0!</v>
      </c>
      <c r="N42" s="12">
        <f t="shared" si="68"/>
        <v>0.14514502257106177</v>
      </c>
      <c r="O42" s="12">
        <f t="shared" si="68"/>
        <v>0.15462991673324536</v>
      </c>
      <c r="P42" s="12">
        <f t="shared" si="68"/>
        <v>-1.5203422034586678E-2</v>
      </c>
      <c r="Q42" s="12" t="e">
        <f t="shared" si="68"/>
        <v>#DIV/0!</v>
      </c>
      <c r="R42" s="12">
        <f>+R25/R16</f>
        <v>0.14551238607971156</v>
      </c>
      <c r="S42" s="12">
        <f>+S25/S16</f>
        <v>0.16571449779383035</v>
      </c>
      <c r="U42" s="12">
        <f t="shared" ref="U42" si="69">+U25/U16</f>
        <v>0.15588647986603621</v>
      </c>
      <c r="V42" s="12">
        <f t="shared" ref="V42:AC42" si="70">+V25/V16</f>
        <v>0.10288368757704502</v>
      </c>
      <c r="W42" s="12">
        <f t="shared" si="70"/>
        <v>0.16115450660642092</v>
      </c>
      <c r="X42" s="12">
        <f t="shared" si="70"/>
        <v>0.18183045737569814</v>
      </c>
      <c r="Y42" s="12">
        <f t="shared" si="70"/>
        <v>0.18186088523394173</v>
      </c>
      <c r="Z42" s="12">
        <f t="shared" si="70"/>
        <v>0.18189369315898934</v>
      </c>
      <c r="AA42" s="12">
        <f t="shared" si="70"/>
        <v>0.18192360072560201</v>
      </c>
      <c r="AB42" s="12">
        <f t="shared" si="70"/>
        <v>0.18195309702958115</v>
      </c>
      <c r="AC42" s="12">
        <f t="shared" si="70"/>
        <v>0.18196741731778593</v>
      </c>
      <c r="AD42" s="12">
        <f t="shared" ref="AD42" si="71">+AD25/AD16</f>
        <v>0.18196665474657453</v>
      </c>
    </row>
    <row r="44" spans="1:30" x14ac:dyDescent="0.2">
      <c r="A44" s="6" t="s">
        <v>29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>
        <v>45.503</v>
      </c>
      <c r="O44" s="7">
        <f>522.213-N44</f>
        <v>476.71</v>
      </c>
      <c r="P44" s="7"/>
      <c r="Q44" s="7"/>
      <c r="R44" s="7">
        <v>127.524</v>
      </c>
      <c r="S44" s="7">
        <f>570.664-R44</f>
        <v>443.14</v>
      </c>
      <c r="U44" s="7">
        <v>1389.1079999999999</v>
      </c>
      <c r="V44" s="7">
        <v>966.46299999999997</v>
      </c>
      <c r="W44" s="7">
        <v>2296.1640000000002</v>
      </c>
      <c r="X44" s="7"/>
      <c r="Y44" s="7"/>
      <c r="Z44" s="7"/>
      <c r="AA44" s="7"/>
      <c r="AB44" s="7"/>
      <c r="AC44" s="7"/>
    </row>
    <row r="45" spans="1:30" x14ac:dyDescent="0.2">
      <c r="A45" s="6" t="s">
        <v>30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136.94200000000001</v>
      </c>
      <c r="O45" s="7">
        <f>282.453-N45</f>
        <v>145.51099999999997</v>
      </c>
      <c r="P45" s="7"/>
      <c r="Q45" s="7"/>
      <c r="R45" s="7">
        <v>130.68100000000001</v>
      </c>
      <c r="S45" s="7">
        <f>275.77-R45</f>
        <v>145.08899999999997</v>
      </c>
      <c r="U45" s="7">
        <v>394.50200000000001</v>
      </c>
      <c r="V45" s="7">
        <v>638.65700000000004</v>
      </c>
      <c r="W45" s="7">
        <v>651.86500000000001</v>
      </c>
      <c r="X45" s="7"/>
      <c r="Y45" s="7"/>
      <c r="Z45" s="7"/>
      <c r="AA45" s="7"/>
      <c r="AB45" s="7"/>
      <c r="AC45" s="7"/>
    </row>
    <row r="46" spans="1:30" x14ac:dyDescent="0.2">
      <c r="A46" s="6" t="s">
        <v>31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21.300999999999998</v>
      </c>
      <c r="O46" s="7">
        <f>45.584-N46</f>
        <v>24.283000000000005</v>
      </c>
      <c r="P46" s="7"/>
      <c r="Q46" s="7"/>
      <c r="R46" s="7">
        <v>25.757999999999999</v>
      </c>
      <c r="S46" s="7">
        <f>47.325-R46</f>
        <v>21.567000000000004</v>
      </c>
      <c r="U46" s="7">
        <v>69.137</v>
      </c>
      <c r="V46" s="7">
        <v>78.075000000000003</v>
      </c>
      <c r="W46" s="7">
        <v>93.56</v>
      </c>
      <c r="X46" s="7"/>
      <c r="Y46" s="7"/>
      <c r="Z46" s="7"/>
      <c r="AA46" s="7"/>
      <c r="AB46" s="7"/>
      <c r="AC46" s="7"/>
    </row>
    <row r="47" spans="1:30" x14ac:dyDescent="0.2">
      <c r="A47" s="6" t="s">
        <v>32</v>
      </c>
      <c r="B47" s="7">
        <f t="shared" ref="B47:Q47" si="72">+B44-B45-B46</f>
        <v>0</v>
      </c>
      <c r="C47" s="7">
        <f t="shared" si="72"/>
        <v>0</v>
      </c>
      <c r="D47" s="7">
        <f t="shared" si="72"/>
        <v>0</v>
      </c>
      <c r="E47" s="7">
        <f t="shared" si="72"/>
        <v>0</v>
      </c>
      <c r="F47" s="7">
        <f t="shared" si="72"/>
        <v>0</v>
      </c>
      <c r="G47" s="7">
        <f t="shared" si="72"/>
        <v>0</v>
      </c>
      <c r="H47" s="7">
        <f t="shared" si="72"/>
        <v>0</v>
      </c>
      <c r="I47" s="7">
        <f t="shared" si="72"/>
        <v>0</v>
      </c>
      <c r="J47" s="7">
        <f t="shared" si="72"/>
        <v>0</v>
      </c>
      <c r="K47" s="7">
        <f t="shared" si="72"/>
        <v>0</v>
      </c>
      <c r="L47" s="7">
        <f t="shared" si="72"/>
        <v>0</v>
      </c>
      <c r="M47" s="7">
        <f t="shared" si="72"/>
        <v>0</v>
      </c>
      <c r="N47" s="7">
        <f t="shared" si="72"/>
        <v>-112.74000000000001</v>
      </c>
      <c r="O47" s="7">
        <f t="shared" si="72"/>
        <v>306.916</v>
      </c>
      <c r="P47" s="7">
        <f t="shared" si="72"/>
        <v>0</v>
      </c>
      <c r="Q47" s="7">
        <f t="shared" si="72"/>
        <v>0</v>
      </c>
      <c r="R47" s="7">
        <f>+R44-R45-R46</f>
        <v>-28.91500000000001</v>
      </c>
      <c r="S47" s="7">
        <f t="shared" ref="S47" si="73">+S44-S45-S46</f>
        <v>276.48400000000004</v>
      </c>
      <c r="U47" s="7">
        <f t="shared" ref="U47:AC47" si="74">+U44-U45-U46</f>
        <v>925.46900000000005</v>
      </c>
      <c r="V47" s="7">
        <f t="shared" si="74"/>
        <v>249.73099999999994</v>
      </c>
      <c r="W47" s="7">
        <f>+W44-W45-W46</f>
        <v>1550.7390000000003</v>
      </c>
      <c r="X47" s="7">
        <f t="shared" si="74"/>
        <v>0</v>
      </c>
      <c r="Y47" s="7">
        <f t="shared" si="74"/>
        <v>0</v>
      </c>
      <c r="Z47" s="7">
        <f t="shared" si="74"/>
        <v>0</v>
      </c>
      <c r="AA47" s="7">
        <f t="shared" si="74"/>
        <v>0</v>
      </c>
      <c r="AB47" s="7">
        <f t="shared" si="74"/>
        <v>0</v>
      </c>
      <c r="AC47" s="7">
        <f t="shared" si="74"/>
        <v>0</v>
      </c>
    </row>
    <row r="48" spans="1:30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30" x14ac:dyDescent="0.2">
      <c r="A49" s="6" t="s">
        <v>33</v>
      </c>
      <c r="B49" s="7"/>
      <c r="C49" s="7"/>
      <c r="D49" s="7"/>
      <c r="E49" s="7">
        <f t="shared" ref="E49:Q49" si="75">+SUM(B47:E47)</f>
        <v>0</v>
      </c>
      <c r="F49" s="7">
        <f t="shared" si="75"/>
        <v>0</v>
      </c>
      <c r="G49" s="7">
        <f t="shared" si="75"/>
        <v>0</v>
      </c>
      <c r="H49" s="7">
        <f t="shared" si="75"/>
        <v>0</v>
      </c>
      <c r="I49" s="7">
        <f t="shared" si="75"/>
        <v>0</v>
      </c>
      <c r="J49" s="7">
        <f t="shared" si="75"/>
        <v>0</v>
      </c>
      <c r="K49" s="7">
        <f t="shared" si="75"/>
        <v>0</v>
      </c>
      <c r="L49" s="7">
        <f t="shared" si="75"/>
        <v>0</v>
      </c>
      <c r="M49" s="7">
        <f t="shared" si="75"/>
        <v>0</v>
      </c>
      <c r="N49" s="7">
        <f t="shared" si="75"/>
        <v>-112.74000000000001</v>
      </c>
      <c r="O49" s="7">
        <f t="shared" si="75"/>
        <v>194.17599999999999</v>
      </c>
      <c r="P49" s="7">
        <f t="shared" si="75"/>
        <v>194.17599999999999</v>
      </c>
      <c r="Q49" s="7">
        <f t="shared" si="75"/>
        <v>194.17599999999999</v>
      </c>
      <c r="R49" s="7">
        <f>+SUM(O47:R47)</f>
        <v>278.00099999999998</v>
      </c>
      <c r="S49" s="7">
        <f t="shared" ref="S49" si="76">+SUM(P47:S47)</f>
        <v>247.56900000000002</v>
      </c>
    </row>
    <row r="50" spans="1:30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30" x14ac:dyDescent="0.2">
      <c r="A51" s="6" t="s">
        <v>34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2243.971</v>
      </c>
      <c r="O51" s="7"/>
      <c r="P51" s="7">
        <v>1091.1379999999999</v>
      </c>
      <c r="Q51" s="7"/>
      <c r="R51" s="7">
        <v>1900.672</v>
      </c>
      <c r="V51" s="6">
        <v>1154.867</v>
      </c>
      <c r="W51" s="6">
        <v>1900.672</v>
      </c>
      <c r="X51" s="6">
        <f>+W51+X25*0.1</f>
        <v>2089.4773028</v>
      </c>
      <c r="Y51" s="6">
        <f t="shared" ref="Y51:AD51" si="77">+X51+Y25*0.1</f>
        <v>2293.6780697427998</v>
      </c>
      <c r="Z51" s="6">
        <f t="shared" si="77"/>
        <v>2513.9912567249826</v>
      </c>
      <c r="AA51" s="6">
        <f t="shared" si="77"/>
        <v>2751.7507540723127</v>
      </c>
      <c r="AB51" s="6">
        <f t="shared" si="77"/>
        <v>3008.1074861617126</v>
      </c>
      <c r="AC51" s="6">
        <f t="shared" si="77"/>
        <v>3286.3288606117208</v>
      </c>
      <c r="AD51" s="6">
        <f t="shared" si="77"/>
        <v>3590.3996540258754</v>
      </c>
    </row>
    <row r="53" spans="1:30" x14ac:dyDescent="0.2">
      <c r="A53" s="6" t="s">
        <v>114</v>
      </c>
      <c r="W53" s="6">
        <v>38000</v>
      </c>
    </row>
  </sheetData>
  <hyperlinks>
    <hyperlink ref="A1" location="main!A1" display="main" xr:uid="{9DD64804-C522-48D3-80DE-AB9D08E8581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0D22-F5B5-40F6-BFF0-7D9184C7CC4E}">
  <dimension ref="A1:J30"/>
  <sheetViews>
    <sheetView workbookViewId="0">
      <selection activeCell="J16" sqref="J16"/>
    </sheetView>
  </sheetViews>
  <sheetFormatPr defaultRowHeight="15" x14ac:dyDescent="0.25"/>
  <cols>
    <col min="1" max="1" width="16.5703125" bestFit="1" customWidth="1"/>
    <col min="7" max="7" width="29.140625" bestFit="1" customWidth="1"/>
  </cols>
  <sheetData>
    <row r="1" spans="1:10" x14ac:dyDescent="0.25">
      <c r="B1" t="s">
        <v>52</v>
      </c>
      <c r="C1" t="s">
        <v>57</v>
      </c>
      <c r="D1" t="s">
        <v>89</v>
      </c>
      <c r="G1" t="s">
        <v>93</v>
      </c>
      <c r="H1" t="s">
        <v>52</v>
      </c>
      <c r="I1" t="s">
        <v>57</v>
      </c>
      <c r="J1" t="s">
        <v>89</v>
      </c>
    </row>
    <row r="2" spans="1:10" x14ac:dyDescent="0.25">
      <c r="A2" t="s">
        <v>35</v>
      </c>
      <c r="B2">
        <v>367</v>
      </c>
      <c r="C2">
        <v>350</v>
      </c>
      <c r="D2">
        <f>+B2-C2</f>
        <v>17</v>
      </c>
      <c r="G2" t="s">
        <v>94</v>
      </c>
      <c r="H2">
        <v>15</v>
      </c>
      <c r="I2">
        <v>12</v>
      </c>
      <c r="J2">
        <f>+H2-I2</f>
        <v>3</v>
      </c>
    </row>
    <row r="3" spans="1:10" x14ac:dyDescent="0.25">
      <c r="A3" t="s">
        <v>36</v>
      </c>
      <c r="B3">
        <v>71</v>
      </c>
      <c r="C3">
        <v>69</v>
      </c>
      <c r="D3">
        <f t="shared" ref="D3:D23" si="0">+B3-C3</f>
        <v>2</v>
      </c>
      <c r="G3" t="s">
        <v>95</v>
      </c>
      <c r="H3">
        <v>8</v>
      </c>
      <c r="I3">
        <v>7</v>
      </c>
      <c r="J3">
        <f t="shared" ref="J3:J11" si="1">+H3-I3</f>
        <v>1</v>
      </c>
    </row>
    <row r="4" spans="1:10" x14ac:dyDescent="0.25">
      <c r="A4" t="s">
        <v>37</v>
      </c>
      <c r="B4">
        <v>127</v>
      </c>
      <c r="C4">
        <v>99</v>
      </c>
      <c r="D4">
        <f t="shared" si="0"/>
        <v>28</v>
      </c>
      <c r="G4" t="s">
        <v>96</v>
      </c>
      <c r="H4">
        <v>6</v>
      </c>
      <c r="I4">
        <v>3</v>
      </c>
      <c r="J4">
        <f t="shared" si="1"/>
        <v>3</v>
      </c>
    </row>
    <row r="5" spans="1:10" x14ac:dyDescent="0.25">
      <c r="A5" t="s">
        <v>70</v>
      </c>
      <c r="B5">
        <v>33</v>
      </c>
      <c r="C5">
        <v>32</v>
      </c>
      <c r="D5">
        <f t="shared" si="0"/>
        <v>1</v>
      </c>
      <c r="G5" t="s">
        <v>97</v>
      </c>
      <c r="H5">
        <v>3</v>
      </c>
      <c r="I5">
        <v>0</v>
      </c>
      <c r="J5">
        <f t="shared" si="1"/>
        <v>3</v>
      </c>
    </row>
    <row r="6" spans="1:10" x14ac:dyDescent="0.25">
      <c r="A6" t="s">
        <v>71</v>
      </c>
      <c r="B6">
        <v>19</v>
      </c>
      <c r="C6">
        <v>16</v>
      </c>
      <c r="D6">
        <f t="shared" si="0"/>
        <v>3</v>
      </c>
      <c r="G6" t="s">
        <v>98</v>
      </c>
      <c r="H6">
        <v>3</v>
      </c>
      <c r="I6">
        <v>1</v>
      </c>
      <c r="J6">
        <f t="shared" si="1"/>
        <v>2</v>
      </c>
    </row>
    <row r="7" spans="1:10" x14ac:dyDescent="0.25">
      <c r="A7" t="s">
        <v>72</v>
      </c>
      <c r="B7">
        <v>9</v>
      </c>
      <c r="C7">
        <v>9</v>
      </c>
      <c r="D7">
        <f t="shared" si="0"/>
        <v>0</v>
      </c>
      <c r="G7" t="s">
        <v>99</v>
      </c>
      <c r="H7">
        <v>3</v>
      </c>
      <c r="I7">
        <v>3</v>
      </c>
      <c r="J7">
        <f t="shared" si="1"/>
        <v>0</v>
      </c>
    </row>
    <row r="8" spans="1:10" x14ac:dyDescent="0.25">
      <c r="A8" t="s">
        <v>73</v>
      </c>
      <c r="B8">
        <v>8</v>
      </c>
      <c r="C8">
        <v>7</v>
      </c>
      <c r="D8">
        <f t="shared" si="0"/>
        <v>1</v>
      </c>
      <c r="G8" t="s">
        <v>100</v>
      </c>
      <c r="H8">
        <v>1</v>
      </c>
      <c r="I8">
        <v>0</v>
      </c>
      <c r="J8">
        <f t="shared" si="1"/>
        <v>1</v>
      </c>
    </row>
    <row r="9" spans="1:10" x14ac:dyDescent="0.25">
      <c r="A9" t="s">
        <v>74</v>
      </c>
      <c r="B9">
        <v>8</v>
      </c>
      <c r="C9">
        <v>8</v>
      </c>
      <c r="D9">
        <f t="shared" si="0"/>
        <v>0</v>
      </c>
      <c r="G9" t="s">
        <v>90</v>
      </c>
      <c r="H9">
        <f>+SUM(H2:H8)</f>
        <v>39</v>
      </c>
      <c r="I9">
        <f t="shared" ref="I9" si="2">+SUM(I2:I8)</f>
        <v>26</v>
      </c>
      <c r="J9">
        <f t="shared" si="1"/>
        <v>13</v>
      </c>
    </row>
    <row r="10" spans="1:10" x14ac:dyDescent="0.25">
      <c r="A10" t="s">
        <v>75</v>
      </c>
      <c r="B10">
        <v>8</v>
      </c>
      <c r="C10">
        <v>7</v>
      </c>
      <c r="D10">
        <f t="shared" si="0"/>
        <v>1</v>
      </c>
    </row>
    <row r="11" spans="1:10" x14ac:dyDescent="0.25">
      <c r="A11" t="s">
        <v>76</v>
      </c>
      <c r="B11">
        <v>7</v>
      </c>
      <c r="C11">
        <v>8</v>
      </c>
      <c r="D11">
        <f t="shared" si="0"/>
        <v>-1</v>
      </c>
      <c r="G11" t="s">
        <v>101</v>
      </c>
      <c r="H11">
        <f>+H9+B24</f>
        <v>750</v>
      </c>
      <c r="I11">
        <f>+I9+C24</f>
        <v>681</v>
      </c>
      <c r="J11">
        <f t="shared" si="1"/>
        <v>69</v>
      </c>
    </row>
    <row r="12" spans="1:10" x14ac:dyDescent="0.25">
      <c r="A12" t="s">
        <v>77</v>
      </c>
      <c r="B12">
        <v>3</v>
      </c>
      <c r="C12">
        <v>2</v>
      </c>
      <c r="D12">
        <f t="shared" si="0"/>
        <v>1</v>
      </c>
      <c r="J12" s="2">
        <f>+H11/I11-1</f>
        <v>0.1013215859030836</v>
      </c>
    </row>
    <row r="13" spans="1:10" x14ac:dyDescent="0.25">
      <c r="A13" t="s">
        <v>78</v>
      </c>
      <c r="B13">
        <v>2</v>
      </c>
      <c r="C13">
        <v>2</v>
      </c>
      <c r="D13">
        <f t="shared" si="0"/>
        <v>0</v>
      </c>
    </row>
    <row r="14" spans="1:10" x14ac:dyDescent="0.25">
      <c r="A14" t="s">
        <v>79</v>
      </c>
      <c r="B14">
        <v>1</v>
      </c>
      <c r="C14">
        <v>0</v>
      </c>
      <c r="D14">
        <f t="shared" si="0"/>
        <v>1</v>
      </c>
    </row>
    <row r="15" spans="1:10" x14ac:dyDescent="0.25">
      <c r="A15" t="s">
        <v>80</v>
      </c>
      <c r="B15">
        <v>20</v>
      </c>
      <c r="C15">
        <v>20</v>
      </c>
      <c r="D15">
        <f t="shared" si="0"/>
        <v>0</v>
      </c>
    </row>
    <row r="16" spans="1:10" x14ac:dyDescent="0.25">
      <c r="A16" t="s">
        <v>81</v>
      </c>
      <c r="B16">
        <v>9</v>
      </c>
      <c r="C16">
        <v>10</v>
      </c>
      <c r="D16">
        <f t="shared" si="0"/>
        <v>-1</v>
      </c>
    </row>
    <row r="17" spans="1:4" x14ac:dyDescent="0.25">
      <c r="A17" t="s">
        <v>82</v>
      </c>
      <c r="B17">
        <v>6</v>
      </c>
      <c r="C17">
        <v>4</v>
      </c>
      <c r="D17">
        <f t="shared" si="0"/>
        <v>2</v>
      </c>
    </row>
    <row r="18" spans="1:4" x14ac:dyDescent="0.25">
      <c r="A18" t="s">
        <v>83</v>
      </c>
      <c r="B18">
        <v>4</v>
      </c>
      <c r="C18">
        <v>4</v>
      </c>
      <c r="D18">
        <f t="shared" si="0"/>
        <v>0</v>
      </c>
    </row>
    <row r="19" spans="1:4" x14ac:dyDescent="0.25">
      <c r="A19" t="s">
        <v>84</v>
      </c>
      <c r="B19">
        <v>3</v>
      </c>
      <c r="C19">
        <v>3</v>
      </c>
      <c r="D19">
        <f t="shared" si="0"/>
        <v>0</v>
      </c>
    </row>
    <row r="20" spans="1:4" x14ac:dyDescent="0.25">
      <c r="A20" t="s">
        <v>85</v>
      </c>
      <c r="B20">
        <v>2</v>
      </c>
      <c r="C20">
        <v>1</v>
      </c>
      <c r="D20">
        <f t="shared" si="0"/>
        <v>1</v>
      </c>
    </row>
    <row r="21" spans="1:4" x14ac:dyDescent="0.25">
      <c r="A21" t="s">
        <v>86</v>
      </c>
      <c r="B21">
        <v>2</v>
      </c>
      <c r="C21">
        <v>2</v>
      </c>
      <c r="D21">
        <f t="shared" si="0"/>
        <v>0</v>
      </c>
    </row>
    <row r="22" spans="1:4" x14ac:dyDescent="0.25">
      <c r="A22" t="s">
        <v>87</v>
      </c>
      <c r="B22">
        <v>1</v>
      </c>
      <c r="C22">
        <v>1</v>
      </c>
      <c r="D22">
        <f t="shared" si="0"/>
        <v>0</v>
      </c>
    </row>
    <row r="23" spans="1:4" x14ac:dyDescent="0.25">
      <c r="A23" t="s">
        <v>88</v>
      </c>
      <c r="B23">
        <v>1</v>
      </c>
      <c r="C23">
        <v>1</v>
      </c>
      <c r="D23">
        <f t="shared" si="0"/>
        <v>0</v>
      </c>
    </row>
    <row r="24" spans="1:4" x14ac:dyDescent="0.25">
      <c r="A24" t="s">
        <v>90</v>
      </c>
      <c r="B24">
        <f>+SUM(B2:B23)</f>
        <v>711</v>
      </c>
      <c r="C24">
        <f t="shared" ref="C24:D24" si="3">+SUM(C2:C23)</f>
        <v>655</v>
      </c>
      <c r="D24">
        <f t="shared" si="3"/>
        <v>56</v>
      </c>
    </row>
    <row r="25" spans="1:4" x14ac:dyDescent="0.25">
      <c r="D25" s="2">
        <f>+B24/C24-1</f>
        <v>8.5496183206106968E-2</v>
      </c>
    </row>
    <row r="27" spans="1:4" x14ac:dyDescent="0.25">
      <c r="A27" t="s">
        <v>91</v>
      </c>
    </row>
    <row r="28" spans="1:4" x14ac:dyDescent="0.25">
      <c r="A28" t="s">
        <v>35</v>
      </c>
      <c r="B28">
        <f>+model!W10/stores!B2</f>
        <v>17.292621253405994</v>
      </c>
      <c r="C28">
        <f>+model!V10/stores!C2</f>
        <v>16.155265714285715</v>
      </c>
    </row>
    <row r="29" spans="1:4" x14ac:dyDescent="0.25">
      <c r="A29" t="s">
        <v>36</v>
      </c>
      <c r="B29">
        <f>+model!W11/stores!B3</f>
        <v>18.102183098591549</v>
      </c>
      <c r="C29">
        <f>+model!V11/stores!C3</f>
        <v>16.85668115942029</v>
      </c>
    </row>
    <row r="30" spans="1:4" x14ac:dyDescent="0.25">
      <c r="A30" t="s">
        <v>92</v>
      </c>
      <c r="B30">
        <f>+model!W12/stores!B4</f>
        <v>7.5886614173228342</v>
      </c>
      <c r="C30">
        <f>+model!V12/stores!C4</f>
        <v>5.8232626262626264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9937-8AC6-41B9-B0A0-870BFB53CB43}">
  <dimension ref="A2:A10"/>
  <sheetViews>
    <sheetView workbookViewId="0">
      <selection activeCell="B6" sqref="B6"/>
    </sheetView>
  </sheetViews>
  <sheetFormatPr defaultRowHeight="15" x14ac:dyDescent="0.25"/>
  <cols>
    <col min="1" max="1" width="15.140625" bestFit="1" customWidth="1"/>
  </cols>
  <sheetData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stores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2024-07-26T15:28:04Z</dcterms:created>
  <dcterms:modified xsi:type="dcterms:W3CDTF">2024-09-05T20:26:37Z</dcterms:modified>
</cp:coreProperties>
</file>