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phdisegutl-my.sharepoint.com/personal/l59357_aln_iseg_ulisboa_pt/Documents/Models/"/>
    </mc:Choice>
  </mc:AlternateContent>
  <xr:revisionPtr revIDLastSave="38" documentId="13_ncr:1_{E092A8A5-1AF6-47D3-A5F1-C81B9AE19EC2}" xr6:coauthVersionLast="47" xr6:coauthVersionMax="47" xr10:uidLastSave="{16FC3624-0688-45EC-B215-FCE21D25458E}"/>
  <bookViews>
    <workbookView xWindow="-108" yWindow="-108" windowWidth="23256" windowHeight="12456" xr2:uid="{00000000-000D-0000-FFFF-FFFF00000000}"/>
  </bookViews>
  <sheets>
    <sheet name="Main" sheetId="1" r:id="rId1"/>
    <sheet name="Management" sheetId="8" r:id="rId2"/>
    <sheet name="Model" sheetId="3" r:id="rId3"/>
    <sheet name="Industry" sheetId="11" r:id="rId4"/>
    <sheet name="Wines&amp;Spiri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" i="3" l="1"/>
  <c r="H9" i="3"/>
  <c r="G9" i="3"/>
  <c r="I9" i="3"/>
  <c r="X104" i="3"/>
  <c r="W104" i="3"/>
  <c r="V104" i="3"/>
  <c r="J3" i="11"/>
  <c r="K3" i="11" s="1"/>
  <c r="L3" i="11" s="1"/>
  <c r="M3" i="11" s="1"/>
  <c r="D16" i="11"/>
  <c r="D15" i="11"/>
  <c r="F10" i="11"/>
  <c r="F19" i="11" s="1"/>
  <c r="E10" i="11"/>
  <c r="E14" i="11" s="1"/>
  <c r="D10" i="11"/>
  <c r="K22" i="3"/>
  <c r="K21" i="3"/>
  <c r="K18" i="3"/>
  <c r="W32" i="3"/>
  <c r="X32" i="3"/>
  <c r="AA47" i="3"/>
  <c r="Z47" i="3"/>
  <c r="Y47" i="3"/>
  <c r="X47" i="3"/>
  <c r="W47" i="3"/>
  <c r="V47" i="3"/>
  <c r="U47" i="3"/>
  <c r="T47" i="3"/>
  <c r="S47" i="3"/>
  <c r="R47" i="3"/>
  <c r="Q47" i="3"/>
  <c r="P47" i="3"/>
  <c r="AA46" i="3"/>
  <c r="Z46" i="3"/>
  <c r="Y46" i="3"/>
  <c r="X46" i="3"/>
  <c r="W46" i="3"/>
  <c r="V46" i="3"/>
  <c r="U46" i="3"/>
  <c r="T46" i="3"/>
  <c r="S46" i="3"/>
  <c r="R46" i="3"/>
  <c r="Q46" i="3"/>
  <c r="P46" i="3"/>
  <c r="AA57" i="3"/>
  <c r="AA56" i="3"/>
  <c r="AA55" i="3"/>
  <c r="AA54" i="3"/>
  <c r="W57" i="3"/>
  <c r="W56" i="3"/>
  <c r="W55" i="3"/>
  <c r="W54" i="3"/>
  <c r="AA53" i="3"/>
  <c r="W53" i="3"/>
  <c r="W38" i="3"/>
  <c r="K29" i="3"/>
  <c r="S43" i="3"/>
  <c r="R43" i="3"/>
  <c r="S42" i="3"/>
  <c r="R42" i="3"/>
  <c r="S41" i="3"/>
  <c r="R41" i="3"/>
  <c r="S40" i="3"/>
  <c r="R40" i="3"/>
  <c r="S39" i="3"/>
  <c r="R39" i="3"/>
  <c r="I9" i="11"/>
  <c r="I10" i="11" s="1"/>
  <c r="H9" i="11"/>
  <c r="G9" i="11"/>
  <c r="F9" i="11"/>
  <c r="E9" i="11"/>
  <c r="D9" i="11"/>
  <c r="D19" i="11" s="1"/>
  <c r="C9" i="11"/>
  <c r="I3" i="11"/>
  <c r="E3" i="11"/>
  <c r="F3" i="11" s="1"/>
  <c r="G3" i="11" s="1"/>
  <c r="H3" i="11" s="1"/>
  <c r="D3" i="11"/>
  <c r="R25" i="3"/>
  <c r="R48" i="3" s="1"/>
  <c r="V43" i="3"/>
  <c r="U43" i="3"/>
  <c r="T43" i="3"/>
  <c r="V42" i="3"/>
  <c r="U42" i="3"/>
  <c r="T42" i="3"/>
  <c r="V41" i="3"/>
  <c r="U41" i="3"/>
  <c r="T41" i="3"/>
  <c r="V40" i="3"/>
  <c r="U40" i="3"/>
  <c r="T40" i="3"/>
  <c r="V39" i="3"/>
  <c r="U39" i="3"/>
  <c r="T39" i="3"/>
  <c r="S25" i="3"/>
  <c r="S48" i="3" s="1"/>
  <c r="T25" i="3"/>
  <c r="T49" i="3" s="1"/>
  <c r="U25" i="3"/>
  <c r="W43" i="3"/>
  <c r="W42" i="3"/>
  <c r="W41" i="3"/>
  <c r="W40" i="3"/>
  <c r="W39" i="3"/>
  <c r="Y43" i="3"/>
  <c r="X43" i="3"/>
  <c r="Y42" i="3"/>
  <c r="X42" i="3"/>
  <c r="Y41" i="3"/>
  <c r="X41" i="3"/>
  <c r="Y40" i="3"/>
  <c r="X40" i="3"/>
  <c r="Y39" i="3"/>
  <c r="X39" i="3"/>
  <c r="X25" i="3"/>
  <c r="X27" i="3" s="1"/>
  <c r="X45" i="3" s="1"/>
  <c r="W25" i="3"/>
  <c r="W48" i="3" s="1"/>
  <c r="V25" i="3"/>
  <c r="V48" i="3" s="1"/>
  <c r="X9" i="3"/>
  <c r="W9" i="3"/>
  <c r="V9" i="3"/>
  <c r="U9" i="3"/>
  <c r="T9" i="3"/>
  <c r="S9" i="3"/>
  <c r="R9" i="3"/>
  <c r="Q9" i="3"/>
  <c r="P9" i="3"/>
  <c r="O9" i="3"/>
  <c r="X124" i="3"/>
  <c r="W124" i="3"/>
  <c r="V124" i="3"/>
  <c r="U124" i="3"/>
  <c r="T124" i="3"/>
  <c r="S124" i="3"/>
  <c r="R124" i="3"/>
  <c r="Q124" i="3"/>
  <c r="P124" i="3"/>
  <c r="O124" i="3"/>
  <c r="X123" i="3"/>
  <c r="W123" i="3"/>
  <c r="V123" i="3"/>
  <c r="U123" i="3"/>
  <c r="T123" i="3"/>
  <c r="S123" i="3"/>
  <c r="R123" i="3"/>
  <c r="Q123" i="3"/>
  <c r="P123" i="3"/>
  <c r="O123" i="3"/>
  <c r="X122" i="3"/>
  <c r="W122" i="3"/>
  <c r="V122" i="3"/>
  <c r="U122" i="3"/>
  <c r="T122" i="3"/>
  <c r="S122" i="3"/>
  <c r="R122" i="3"/>
  <c r="Q122" i="3"/>
  <c r="P122" i="3"/>
  <c r="O122" i="3"/>
  <c r="X121" i="3"/>
  <c r="W121" i="3"/>
  <c r="V121" i="3"/>
  <c r="U121" i="3"/>
  <c r="T121" i="3"/>
  <c r="S121" i="3"/>
  <c r="R121" i="3"/>
  <c r="Q121" i="3"/>
  <c r="P121" i="3"/>
  <c r="O121" i="3"/>
  <c r="X120" i="3"/>
  <c r="W120" i="3"/>
  <c r="V120" i="3"/>
  <c r="U120" i="3"/>
  <c r="T120" i="3"/>
  <c r="S120" i="3"/>
  <c r="R120" i="3"/>
  <c r="Q120" i="3"/>
  <c r="P120" i="3"/>
  <c r="O120" i="3"/>
  <c r="X119" i="3"/>
  <c r="W119" i="3"/>
  <c r="V119" i="3"/>
  <c r="U119" i="3"/>
  <c r="T119" i="3"/>
  <c r="S119" i="3"/>
  <c r="R119" i="3"/>
  <c r="Q119" i="3"/>
  <c r="P119" i="3"/>
  <c r="O119" i="3"/>
  <c r="P43" i="3"/>
  <c r="P42" i="3"/>
  <c r="P41" i="3"/>
  <c r="P40" i="3"/>
  <c r="P39" i="3"/>
  <c r="Q43" i="3"/>
  <c r="Q42" i="3"/>
  <c r="Q41" i="3"/>
  <c r="Q40" i="3"/>
  <c r="Q39" i="3"/>
  <c r="P25" i="3"/>
  <c r="P27" i="3" s="1"/>
  <c r="P45" i="3" s="1"/>
  <c r="O25" i="3"/>
  <c r="Q25" i="3"/>
  <c r="X49" i="3"/>
  <c r="U49" i="3"/>
  <c r="U48" i="3"/>
  <c r="P104" i="3"/>
  <c r="Q104" i="3"/>
  <c r="O104" i="3"/>
  <c r="Q55" i="3"/>
  <c r="P55" i="3"/>
  <c r="O55" i="3"/>
  <c r="Q32" i="3"/>
  <c r="P32" i="3"/>
  <c r="O32" i="3"/>
  <c r="X30" i="3"/>
  <c r="W30" i="3"/>
  <c r="V30" i="3"/>
  <c r="U30" i="3"/>
  <c r="U50" i="3" s="1"/>
  <c r="T30" i="3"/>
  <c r="S30" i="3"/>
  <c r="R30" i="3"/>
  <c r="Q30" i="3"/>
  <c r="P30" i="3"/>
  <c r="O30" i="3"/>
  <c r="U27" i="3"/>
  <c r="U45" i="3" s="1"/>
  <c r="K43" i="3"/>
  <c r="K42" i="3"/>
  <c r="K20" i="3"/>
  <c r="K19" i="3"/>
  <c r="AC36" i="3"/>
  <c r="K28" i="3"/>
  <c r="K47" i="3"/>
  <c r="G123" i="3"/>
  <c r="G122" i="3"/>
  <c r="G121" i="3"/>
  <c r="G120" i="3"/>
  <c r="G119" i="3"/>
  <c r="I124" i="3"/>
  <c r="I123" i="3"/>
  <c r="I122" i="3"/>
  <c r="I121" i="3"/>
  <c r="I120" i="3"/>
  <c r="I119" i="3"/>
  <c r="Z124" i="3"/>
  <c r="Z123" i="3"/>
  <c r="Y123" i="3"/>
  <c r="Z122" i="3"/>
  <c r="Y122" i="3"/>
  <c r="Z121" i="3"/>
  <c r="Y121" i="3"/>
  <c r="Z120" i="3"/>
  <c r="Y120" i="3"/>
  <c r="Z119" i="3"/>
  <c r="Y119" i="3"/>
  <c r="AA124" i="3"/>
  <c r="AA123" i="3"/>
  <c r="AA122" i="3"/>
  <c r="AA121" i="3"/>
  <c r="AA120" i="3"/>
  <c r="I100" i="3"/>
  <c r="I102" i="3" s="1"/>
  <c r="I92" i="3"/>
  <c r="I94" i="3" s="1"/>
  <c r="I83" i="3"/>
  <c r="I89" i="3" s="1"/>
  <c r="I104" i="3" s="1"/>
  <c r="G73" i="3"/>
  <c r="G55" i="3" s="1"/>
  <c r="G72" i="3"/>
  <c r="G69" i="3"/>
  <c r="G70" i="3"/>
  <c r="G66" i="3"/>
  <c r="G58" i="3"/>
  <c r="G59" i="3"/>
  <c r="I73" i="3"/>
  <c r="I55" i="3" s="1"/>
  <c r="I72" i="3"/>
  <c r="I69" i="3"/>
  <c r="I70" i="3"/>
  <c r="I66" i="3"/>
  <c r="I58" i="3"/>
  <c r="I59" i="3"/>
  <c r="I10" i="10"/>
  <c r="H10" i="10"/>
  <c r="G10" i="10"/>
  <c r="F10" i="10"/>
  <c r="E10" i="10"/>
  <c r="E14" i="10" s="1"/>
  <c r="D10" i="10"/>
  <c r="C10" i="10"/>
  <c r="I14" i="10"/>
  <c r="H14" i="10"/>
  <c r="G14" i="10"/>
  <c r="F14" i="10"/>
  <c r="D14" i="10"/>
  <c r="AA119" i="3"/>
  <c r="M3" i="10"/>
  <c r="N3" i="10" s="1"/>
  <c r="D4" i="10"/>
  <c r="E4" i="10" s="1"/>
  <c r="F4" i="10" s="1"/>
  <c r="G4" i="10" s="1"/>
  <c r="H4" i="10" s="1"/>
  <c r="I4" i="10" s="1"/>
  <c r="H101" i="3"/>
  <c r="H99" i="3"/>
  <c r="H98" i="3"/>
  <c r="H96" i="3"/>
  <c r="H93" i="3"/>
  <c r="H91" i="3"/>
  <c r="I107" i="3" s="1"/>
  <c r="H88" i="3"/>
  <c r="H87" i="3"/>
  <c r="H86" i="3"/>
  <c r="H85" i="3"/>
  <c r="H84" i="3"/>
  <c r="H82" i="3"/>
  <c r="H81" i="3"/>
  <c r="G100" i="3"/>
  <c r="G102" i="3" s="1"/>
  <c r="G92" i="3"/>
  <c r="G94" i="3" s="1"/>
  <c r="C94" i="3"/>
  <c r="E94" i="3"/>
  <c r="G83" i="3"/>
  <c r="G89" i="3" s="1"/>
  <c r="H73" i="3"/>
  <c r="H55" i="3" s="1"/>
  <c r="H72" i="3"/>
  <c r="H69" i="3"/>
  <c r="H70" i="3"/>
  <c r="H66" i="3"/>
  <c r="H58" i="3"/>
  <c r="H59" i="3"/>
  <c r="I17" i="11" l="1"/>
  <c r="I14" i="11"/>
  <c r="C10" i="11"/>
  <c r="F11" i="11"/>
  <c r="F14" i="11"/>
  <c r="E16" i="11"/>
  <c r="E18" i="11"/>
  <c r="D14" i="11"/>
  <c r="F16" i="11"/>
  <c r="F18" i="11"/>
  <c r="G10" i="11"/>
  <c r="D17" i="11"/>
  <c r="E15" i="11"/>
  <c r="E17" i="11"/>
  <c r="E19" i="11"/>
  <c r="D18" i="11"/>
  <c r="F17" i="11"/>
  <c r="H10" i="11"/>
  <c r="F15" i="11"/>
  <c r="E11" i="11"/>
  <c r="I18" i="11"/>
  <c r="I15" i="11"/>
  <c r="I19" i="11"/>
  <c r="I16" i="11"/>
  <c r="R49" i="3"/>
  <c r="R27" i="3"/>
  <c r="R45" i="3" s="1"/>
  <c r="S27" i="3"/>
  <c r="S45" i="3" s="1"/>
  <c r="S49" i="3"/>
  <c r="S44" i="3"/>
  <c r="S50" i="3"/>
  <c r="T27" i="3"/>
  <c r="T31" i="3" s="1"/>
  <c r="T51" i="3" s="1"/>
  <c r="T48" i="3"/>
  <c r="T44" i="3"/>
  <c r="T50" i="3"/>
  <c r="U44" i="3"/>
  <c r="V50" i="3"/>
  <c r="V44" i="3"/>
  <c r="V49" i="3"/>
  <c r="V27" i="3"/>
  <c r="V45" i="3" s="1"/>
  <c r="W44" i="3"/>
  <c r="W27" i="3"/>
  <c r="W45" i="3" s="1"/>
  <c r="W50" i="3"/>
  <c r="W49" i="3"/>
  <c r="X44" i="3"/>
  <c r="X50" i="3"/>
  <c r="X48" i="3"/>
  <c r="P44" i="3"/>
  <c r="P49" i="3"/>
  <c r="P48" i="3"/>
  <c r="P50" i="3"/>
  <c r="R50" i="3"/>
  <c r="X31" i="3"/>
  <c r="U31" i="3"/>
  <c r="O48" i="3"/>
  <c r="O50" i="3"/>
  <c r="O27" i="3"/>
  <c r="O45" i="3" s="1"/>
  <c r="O49" i="3"/>
  <c r="P31" i="3"/>
  <c r="O31" i="3"/>
  <c r="G75" i="3"/>
  <c r="K39" i="3"/>
  <c r="G67" i="3"/>
  <c r="K40" i="3"/>
  <c r="K41" i="3"/>
  <c r="K30" i="3"/>
  <c r="K46" i="3"/>
  <c r="I75" i="3"/>
  <c r="I67" i="3"/>
  <c r="F11" i="10"/>
  <c r="H92" i="3"/>
  <c r="H94" i="3" s="1"/>
  <c r="H100" i="3"/>
  <c r="H102" i="3" s="1"/>
  <c r="I12" i="10"/>
  <c r="E11" i="10"/>
  <c r="C14" i="10"/>
  <c r="D11" i="10"/>
  <c r="I11" i="10"/>
  <c r="H11" i="10"/>
  <c r="G11" i="10"/>
  <c r="H83" i="3"/>
  <c r="H89" i="3" s="1"/>
  <c r="H75" i="3"/>
  <c r="H67" i="3"/>
  <c r="Z126" i="3"/>
  <c r="AA126" i="3"/>
  <c r="AA43" i="3"/>
  <c r="AA42" i="3"/>
  <c r="AA41" i="3"/>
  <c r="Z43" i="3"/>
  <c r="Z42" i="3"/>
  <c r="Z41" i="3"/>
  <c r="AA40" i="3"/>
  <c r="Z40" i="3"/>
  <c r="C18" i="11" l="1"/>
  <c r="C16" i="11"/>
  <c r="C15" i="11"/>
  <c r="C17" i="11"/>
  <c r="C14" i="11"/>
  <c r="H17" i="11"/>
  <c r="H15" i="11"/>
  <c r="H16" i="11"/>
  <c r="H18" i="11"/>
  <c r="H14" i="11"/>
  <c r="H11" i="11"/>
  <c r="G17" i="11"/>
  <c r="G15" i="11"/>
  <c r="G18" i="11"/>
  <c r="G16" i="11"/>
  <c r="G14" i="11"/>
  <c r="G11" i="11"/>
  <c r="I11" i="11"/>
  <c r="H19" i="11"/>
  <c r="G19" i="11"/>
  <c r="D11" i="11"/>
  <c r="C19" i="11"/>
  <c r="W31" i="3"/>
  <c r="W51" i="3" s="1"/>
  <c r="R31" i="3"/>
  <c r="R51" i="3" s="1"/>
  <c r="S31" i="3"/>
  <c r="S51" i="3" s="1"/>
  <c r="T45" i="3"/>
  <c r="V31" i="3"/>
  <c r="V51" i="3" s="1"/>
  <c r="T33" i="3"/>
  <c r="U51" i="3"/>
  <c r="U33" i="3"/>
  <c r="X51" i="3"/>
  <c r="X33" i="3"/>
  <c r="T52" i="3"/>
  <c r="T35" i="3"/>
  <c r="T37" i="3" s="1"/>
  <c r="P33" i="3"/>
  <c r="P51" i="3"/>
  <c r="O33" i="3"/>
  <c r="O51" i="3"/>
  <c r="G76" i="3"/>
  <c r="I76" i="3"/>
  <c r="H76" i="3"/>
  <c r="AA39" i="3"/>
  <c r="Z39" i="3"/>
  <c r="I47" i="3"/>
  <c r="I46" i="3"/>
  <c r="G47" i="3"/>
  <c r="G46" i="3"/>
  <c r="E47" i="3"/>
  <c r="E46" i="3"/>
  <c r="I43" i="3"/>
  <c r="I41" i="3"/>
  <c r="I42" i="3"/>
  <c r="I40" i="3"/>
  <c r="I39" i="3"/>
  <c r="G43" i="3"/>
  <c r="E43" i="3"/>
  <c r="G42" i="3"/>
  <c r="E42" i="3"/>
  <c r="G41" i="3"/>
  <c r="E41" i="3"/>
  <c r="G40" i="3"/>
  <c r="E40" i="3"/>
  <c r="G39" i="3"/>
  <c r="E39" i="3"/>
  <c r="D91" i="3"/>
  <c r="D89" i="3"/>
  <c r="D36" i="3"/>
  <c r="D34" i="3"/>
  <c r="D32" i="3"/>
  <c r="D29" i="3"/>
  <c r="D28" i="3"/>
  <c r="D26" i="3"/>
  <c r="D22" i="3"/>
  <c r="D21" i="3"/>
  <c r="D20" i="3"/>
  <c r="D19" i="3"/>
  <c r="D18" i="3"/>
  <c r="C25" i="3"/>
  <c r="C27" i="3" s="1"/>
  <c r="C45" i="3" s="1"/>
  <c r="F91" i="3"/>
  <c r="F89" i="3"/>
  <c r="H107" i="3"/>
  <c r="E104" i="3"/>
  <c r="C104" i="3"/>
  <c r="F34" i="3"/>
  <c r="F32" i="3"/>
  <c r="F29" i="3"/>
  <c r="F28" i="3"/>
  <c r="F26" i="3"/>
  <c r="C30" i="3"/>
  <c r="F36" i="3"/>
  <c r="E30" i="3"/>
  <c r="H36" i="3"/>
  <c r="H34" i="3"/>
  <c r="H32" i="3"/>
  <c r="H29" i="3"/>
  <c r="H28" i="3"/>
  <c r="J28" i="3" s="1"/>
  <c r="L28" i="3" s="1"/>
  <c r="AC28" i="3" s="1"/>
  <c r="H26" i="3"/>
  <c r="G30" i="3"/>
  <c r="F22" i="3"/>
  <c r="F21" i="3"/>
  <c r="F20" i="3"/>
  <c r="F19" i="3"/>
  <c r="F18" i="3"/>
  <c r="H22" i="3"/>
  <c r="J22" i="3" s="1"/>
  <c r="L22" i="3" s="1"/>
  <c r="H21" i="3"/>
  <c r="J21" i="3" s="1"/>
  <c r="L21" i="3" s="1"/>
  <c r="H20" i="3"/>
  <c r="J20" i="3" s="1"/>
  <c r="L20" i="3" s="1"/>
  <c r="H19" i="3"/>
  <c r="J19" i="3" s="1"/>
  <c r="L19" i="3" s="1"/>
  <c r="H18" i="3"/>
  <c r="J18" i="3" s="1"/>
  <c r="L18" i="3" s="1"/>
  <c r="E23" i="3"/>
  <c r="E25" i="3" s="1"/>
  <c r="E27" i="3" s="1"/>
  <c r="E45" i="3" s="1"/>
  <c r="G23" i="3"/>
  <c r="Z104" i="3"/>
  <c r="Y104" i="3"/>
  <c r="AA104" i="3"/>
  <c r="H5" i="1"/>
  <c r="Y23" i="3"/>
  <c r="Y30" i="3"/>
  <c r="Y2" i="3"/>
  <c r="X2" i="3" s="1"/>
  <c r="W2" i="3" s="1"/>
  <c r="V2" i="3" s="1"/>
  <c r="U2" i="3" s="1"/>
  <c r="T2" i="3" s="1"/>
  <c r="S2" i="3" s="1"/>
  <c r="R2" i="3" s="1"/>
  <c r="Q2" i="3" s="1"/>
  <c r="P2" i="3" s="1"/>
  <c r="O2" i="3" s="1"/>
  <c r="AA30" i="3"/>
  <c r="Z30" i="3"/>
  <c r="AA25" i="3"/>
  <c r="AA38" i="3" s="1"/>
  <c r="Z25" i="3"/>
  <c r="AA2" i="3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D28" i="3" l="1"/>
  <c r="S33" i="3"/>
  <c r="S35" i="3" s="1"/>
  <c r="S37" i="3" s="1"/>
  <c r="W33" i="3"/>
  <c r="W35" i="3" s="1"/>
  <c r="W37" i="3" s="1"/>
  <c r="R33" i="3"/>
  <c r="R52" i="3" s="1"/>
  <c r="V33" i="3"/>
  <c r="V52" i="3" s="1"/>
  <c r="S52" i="3"/>
  <c r="X35" i="3"/>
  <c r="X37" i="3" s="1"/>
  <c r="X52" i="3"/>
  <c r="U35" i="3"/>
  <c r="U37" i="3" s="1"/>
  <c r="U52" i="3"/>
  <c r="P35" i="3"/>
  <c r="P37" i="3" s="1"/>
  <c r="P52" i="3"/>
  <c r="O35" i="3"/>
  <c r="O37" i="3" s="1"/>
  <c r="O52" i="3"/>
  <c r="L39" i="3"/>
  <c r="AC18" i="3"/>
  <c r="L41" i="3"/>
  <c r="AC20" i="3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L43" i="3"/>
  <c r="AC22" i="3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L40" i="3"/>
  <c r="AC19" i="3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G25" i="3"/>
  <c r="G27" i="3" s="1"/>
  <c r="G45" i="3" s="1"/>
  <c r="G124" i="3"/>
  <c r="Y25" i="3"/>
  <c r="Y124" i="3"/>
  <c r="L42" i="3"/>
  <c r="AC21" i="3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L46" i="3"/>
  <c r="J29" i="3"/>
  <c r="Z50" i="3"/>
  <c r="AA50" i="3"/>
  <c r="E50" i="3"/>
  <c r="C50" i="3"/>
  <c r="AB22" i="3"/>
  <c r="E107" i="3"/>
  <c r="D107" i="3"/>
  <c r="G107" i="3"/>
  <c r="F107" i="3"/>
  <c r="AB21" i="3"/>
  <c r="F46" i="3"/>
  <c r="Z27" i="3"/>
  <c r="Z45" i="3" s="1"/>
  <c r="Z48" i="3"/>
  <c r="Z49" i="3"/>
  <c r="F47" i="3"/>
  <c r="AA27" i="3"/>
  <c r="AA45" i="3" s="1"/>
  <c r="AA49" i="3"/>
  <c r="AA48" i="3"/>
  <c r="H46" i="3"/>
  <c r="H6" i="1"/>
  <c r="H7" i="1" s="1"/>
  <c r="H9" i="1" s="1"/>
  <c r="H47" i="3"/>
  <c r="J32" i="3"/>
  <c r="AB28" i="3"/>
  <c r="AB46" i="3" s="1"/>
  <c r="AB18" i="3"/>
  <c r="AB36" i="3"/>
  <c r="F43" i="3"/>
  <c r="J46" i="3"/>
  <c r="AB20" i="3"/>
  <c r="I30" i="3"/>
  <c r="C48" i="3"/>
  <c r="C49" i="3"/>
  <c r="E49" i="3"/>
  <c r="E48" i="3"/>
  <c r="J41" i="3"/>
  <c r="J40" i="3"/>
  <c r="AB19" i="3"/>
  <c r="J9" i="11" s="1"/>
  <c r="J39" i="3"/>
  <c r="F39" i="3"/>
  <c r="H40" i="3"/>
  <c r="AA44" i="3"/>
  <c r="F42" i="3"/>
  <c r="H41" i="3"/>
  <c r="H39" i="3"/>
  <c r="F41" i="3"/>
  <c r="J42" i="3"/>
  <c r="F40" i="3"/>
  <c r="H42" i="3"/>
  <c r="H43" i="3"/>
  <c r="D30" i="3"/>
  <c r="E44" i="3"/>
  <c r="F30" i="3"/>
  <c r="D23" i="3"/>
  <c r="D25" i="3" s="1"/>
  <c r="D104" i="3"/>
  <c r="E105" i="3" s="1"/>
  <c r="F23" i="3"/>
  <c r="F25" i="3" s="1"/>
  <c r="F48" i="3" s="1"/>
  <c r="G44" i="3"/>
  <c r="H23" i="3"/>
  <c r="F104" i="3"/>
  <c r="C31" i="3"/>
  <c r="E31" i="3"/>
  <c r="H30" i="3"/>
  <c r="J10" i="11" l="1"/>
  <c r="J19" i="11"/>
  <c r="AC46" i="3"/>
  <c r="L29" i="3"/>
  <c r="AC29" i="3" s="1"/>
  <c r="AE28" i="3"/>
  <c r="AD46" i="3"/>
  <c r="V35" i="3"/>
  <c r="V37" i="3" s="1"/>
  <c r="W52" i="3"/>
  <c r="R35" i="3"/>
  <c r="R37" i="3" s="1"/>
  <c r="Y49" i="3"/>
  <c r="Y44" i="3"/>
  <c r="J30" i="3"/>
  <c r="AD18" i="3"/>
  <c r="Z44" i="3"/>
  <c r="Y50" i="3"/>
  <c r="G49" i="3"/>
  <c r="Y27" i="3"/>
  <c r="Y45" i="3" s="1"/>
  <c r="G50" i="3"/>
  <c r="Y48" i="3"/>
  <c r="AB29" i="3"/>
  <c r="AB47" i="3" s="1"/>
  <c r="J47" i="3"/>
  <c r="AB32" i="3"/>
  <c r="K32" i="3"/>
  <c r="G31" i="3"/>
  <c r="G51" i="3" s="1"/>
  <c r="G48" i="3"/>
  <c r="J43" i="3"/>
  <c r="F50" i="3"/>
  <c r="D50" i="3"/>
  <c r="AB43" i="3"/>
  <c r="D105" i="3"/>
  <c r="F105" i="3"/>
  <c r="AB42" i="3"/>
  <c r="Z31" i="3"/>
  <c r="Z51" i="3" s="1"/>
  <c r="AC42" i="3"/>
  <c r="AB41" i="3"/>
  <c r="C33" i="3"/>
  <c r="C35" i="3" s="1"/>
  <c r="C53" i="3" s="1"/>
  <c r="C51" i="3"/>
  <c r="AB40" i="3"/>
  <c r="AB39" i="3"/>
  <c r="E33" i="3"/>
  <c r="E52" i="3" s="1"/>
  <c r="E51" i="3"/>
  <c r="D27" i="3"/>
  <c r="D45" i="3" s="1"/>
  <c r="D48" i="3"/>
  <c r="D49" i="3"/>
  <c r="F49" i="3"/>
  <c r="H25" i="3"/>
  <c r="H44" i="3" s="1"/>
  <c r="F27" i="3"/>
  <c r="F44" i="3"/>
  <c r="AA31" i="3"/>
  <c r="AF28" i="3" l="1"/>
  <c r="AE46" i="3"/>
  <c r="L30" i="3"/>
  <c r="L47" i="3"/>
  <c r="AD29" i="3"/>
  <c r="AC47" i="3"/>
  <c r="J11" i="11"/>
  <c r="J16" i="11"/>
  <c r="J18" i="11"/>
  <c r="J17" i="11"/>
  <c r="J15" i="11"/>
  <c r="J14" i="11"/>
  <c r="AE18" i="3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B30" i="3"/>
  <c r="Y31" i="3"/>
  <c r="Y51" i="3" s="1"/>
  <c r="G33" i="3"/>
  <c r="G52" i="3" s="1"/>
  <c r="L32" i="3"/>
  <c r="AC32" i="3" s="1"/>
  <c r="AC43" i="3"/>
  <c r="AG43" i="3"/>
  <c r="AF43" i="3"/>
  <c r="H50" i="3"/>
  <c r="AH43" i="3"/>
  <c r="C37" i="3"/>
  <c r="Z33" i="3"/>
  <c r="Z35" i="3" s="1"/>
  <c r="Z37" i="3" s="1"/>
  <c r="C9" i="1"/>
  <c r="C52" i="3"/>
  <c r="AA33" i="3"/>
  <c r="AA51" i="3"/>
  <c r="AC41" i="3"/>
  <c r="AD42" i="3"/>
  <c r="AE43" i="3"/>
  <c r="AD43" i="3"/>
  <c r="I25" i="3"/>
  <c r="I50" i="3" s="1"/>
  <c r="AC39" i="3"/>
  <c r="E35" i="3"/>
  <c r="E53" i="3" s="1"/>
  <c r="AC40" i="3"/>
  <c r="D31" i="3"/>
  <c r="H49" i="3"/>
  <c r="H48" i="3"/>
  <c r="H27" i="3"/>
  <c r="H45" i="3" s="1"/>
  <c r="F31" i="3"/>
  <c r="F45" i="3"/>
  <c r="J23" i="3"/>
  <c r="C4" i="1"/>
  <c r="C8" i="1"/>
  <c r="C6" i="1"/>
  <c r="C7" i="1"/>
  <c r="C5" i="1"/>
  <c r="AE29" i="3" l="1"/>
  <c r="AD47" i="3"/>
  <c r="AG28" i="3"/>
  <c r="AF46" i="3"/>
  <c r="AI43" i="3"/>
  <c r="Y33" i="3"/>
  <c r="Y35" i="3" s="1"/>
  <c r="Y37" i="3" s="1"/>
  <c r="G35" i="3"/>
  <c r="G53" i="3" s="1"/>
  <c r="J25" i="3"/>
  <c r="J50" i="3" s="1"/>
  <c r="K23" i="3"/>
  <c r="E37" i="3"/>
  <c r="Z52" i="3"/>
  <c r="AE42" i="3"/>
  <c r="AD41" i="3"/>
  <c r="AA35" i="3"/>
  <c r="AA37" i="3" s="1"/>
  <c r="AA52" i="3"/>
  <c r="AC30" i="3"/>
  <c r="I44" i="3"/>
  <c r="I27" i="3"/>
  <c r="I48" i="3"/>
  <c r="I49" i="3"/>
  <c r="D33" i="3"/>
  <c r="D51" i="3"/>
  <c r="AD40" i="3"/>
  <c r="AB23" i="3"/>
  <c r="AB25" i="3" s="1"/>
  <c r="AD39" i="3"/>
  <c r="F33" i="3"/>
  <c r="F35" i="3" s="1"/>
  <c r="F51" i="3"/>
  <c r="H31" i="3"/>
  <c r="H33" i="3" s="1"/>
  <c r="H35" i="3" s="1"/>
  <c r="AH28" i="3" l="1"/>
  <c r="AG46" i="3"/>
  <c r="AF29" i="3"/>
  <c r="AE47" i="3"/>
  <c r="AJ43" i="3"/>
  <c r="Y52" i="3"/>
  <c r="G37" i="3"/>
  <c r="J44" i="3"/>
  <c r="L23" i="3"/>
  <c r="L25" i="3" s="1"/>
  <c r="K25" i="3"/>
  <c r="J26" i="3"/>
  <c r="J27" i="3" s="1"/>
  <c r="J45" i="3" s="1"/>
  <c r="J48" i="3"/>
  <c r="J49" i="3"/>
  <c r="H37" i="3"/>
  <c r="F106" i="3"/>
  <c r="F53" i="3"/>
  <c r="F37" i="3"/>
  <c r="G106" i="3"/>
  <c r="H106" i="3"/>
  <c r="AE41" i="3"/>
  <c r="AF42" i="3"/>
  <c r="AD30" i="3"/>
  <c r="H51" i="3"/>
  <c r="I45" i="3"/>
  <c r="I31" i="3"/>
  <c r="F52" i="3"/>
  <c r="AE39" i="3"/>
  <c r="AE40" i="3"/>
  <c r="H52" i="3"/>
  <c r="D35" i="3"/>
  <c r="D53" i="3" s="1"/>
  <c r="D52" i="3"/>
  <c r="H53" i="3"/>
  <c r="AG29" i="3" l="1"/>
  <c r="AF47" i="3"/>
  <c r="AI28" i="3"/>
  <c r="AH46" i="3"/>
  <c r="AK43" i="3"/>
  <c r="AB26" i="3"/>
  <c r="AB27" i="3" s="1"/>
  <c r="AB31" i="3" s="1"/>
  <c r="J31" i="3"/>
  <c r="J33" i="3" s="1"/>
  <c r="G79" i="3"/>
  <c r="G78" i="3"/>
  <c r="K49" i="3"/>
  <c r="K44" i="3"/>
  <c r="K26" i="3"/>
  <c r="K48" i="3"/>
  <c r="K50" i="3"/>
  <c r="AC23" i="3"/>
  <c r="L48" i="3"/>
  <c r="L44" i="3"/>
  <c r="L26" i="3"/>
  <c r="L27" i="3" s="1"/>
  <c r="L49" i="3"/>
  <c r="L50" i="3"/>
  <c r="H79" i="3"/>
  <c r="H78" i="3"/>
  <c r="AB44" i="3"/>
  <c r="AB50" i="3"/>
  <c r="D37" i="3"/>
  <c r="E106" i="3"/>
  <c r="D106" i="3"/>
  <c r="AG42" i="3"/>
  <c r="AF41" i="3"/>
  <c r="AB49" i="3"/>
  <c r="AB48" i="3"/>
  <c r="AE30" i="3"/>
  <c r="AF39" i="3"/>
  <c r="AF40" i="3"/>
  <c r="I33" i="3"/>
  <c r="I51" i="3"/>
  <c r="AJ28" i="3" l="1"/>
  <c r="AI46" i="3"/>
  <c r="AD23" i="3"/>
  <c r="AD25" i="3" s="1"/>
  <c r="AC25" i="3"/>
  <c r="AH29" i="3"/>
  <c r="AG47" i="3"/>
  <c r="K27" i="3"/>
  <c r="K45" i="3" s="1"/>
  <c r="AC26" i="3"/>
  <c r="AL43" i="3"/>
  <c r="J51" i="3"/>
  <c r="AC50" i="3"/>
  <c r="L31" i="3"/>
  <c r="L45" i="3"/>
  <c r="AB45" i="3"/>
  <c r="AG41" i="3"/>
  <c r="AE23" i="3"/>
  <c r="AE25" i="3" s="1"/>
  <c r="AD50" i="3"/>
  <c r="AH42" i="3"/>
  <c r="AB33" i="3"/>
  <c r="AB51" i="3"/>
  <c r="AF30" i="3"/>
  <c r="J34" i="3"/>
  <c r="J52" i="3" s="1"/>
  <c r="AG39" i="3"/>
  <c r="I35" i="3"/>
  <c r="AG40" i="3"/>
  <c r="AI29" i="3" l="1"/>
  <c r="AH47" i="3"/>
  <c r="AK28" i="3"/>
  <c r="AJ46" i="3"/>
  <c r="K31" i="3"/>
  <c r="K51" i="3" s="1"/>
  <c r="AM43" i="3"/>
  <c r="AC44" i="3"/>
  <c r="AC49" i="3"/>
  <c r="AC48" i="3"/>
  <c r="AC27" i="3"/>
  <c r="AC31" i="3" s="1"/>
  <c r="L33" i="3"/>
  <c r="L51" i="3"/>
  <c r="I53" i="3"/>
  <c r="I106" i="3"/>
  <c r="AI42" i="3"/>
  <c r="AD44" i="3"/>
  <c r="AD26" i="3"/>
  <c r="AD27" i="3" s="1"/>
  <c r="AD49" i="3"/>
  <c r="AD48" i="3"/>
  <c r="AF23" i="3"/>
  <c r="AF25" i="3" s="1"/>
  <c r="AE50" i="3"/>
  <c r="I37" i="3"/>
  <c r="AH41" i="3"/>
  <c r="AG30" i="3"/>
  <c r="I52" i="3"/>
  <c r="AB34" i="3"/>
  <c r="AH40" i="3"/>
  <c r="AH39" i="3"/>
  <c r="J35" i="3"/>
  <c r="AL28" i="3" l="1"/>
  <c r="AK46" i="3"/>
  <c r="AJ29" i="3"/>
  <c r="AI47" i="3"/>
  <c r="K33" i="3"/>
  <c r="K34" i="3" s="1"/>
  <c r="AC45" i="3"/>
  <c r="AN43" i="3"/>
  <c r="I78" i="3"/>
  <c r="I79" i="3"/>
  <c r="K52" i="3"/>
  <c r="L34" i="3"/>
  <c r="L52" i="3" s="1"/>
  <c r="J55" i="3"/>
  <c r="AC33" i="3" s="1"/>
  <c r="J37" i="3"/>
  <c r="J53" i="3"/>
  <c r="AG23" i="3"/>
  <c r="AF50" i="3"/>
  <c r="AC51" i="3"/>
  <c r="AE44" i="3"/>
  <c r="AE26" i="3"/>
  <c r="AE27" i="3" s="1"/>
  <c r="AE48" i="3"/>
  <c r="AE49" i="3"/>
  <c r="AD45" i="3"/>
  <c r="AD31" i="3"/>
  <c r="AD51" i="3" s="1"/>
  <c r="AB35" i="3"/>
  <c r="AB52" i="3"/>
  <c r="AI41" i="3"/>
  <c r="AJ42" i="3"/>
  <c r="AH30" i="3"/>
  <c r="AI39" i="3"/>
  <c r="AI40" i="3"/>
  <c r="K35" i="3" l="1"/>
  <c r="K55" i="3" s="1"/>
  <c r="AJ47" i="3"/>
  <c r="AK29" i="3"/>
  <c r="AB37" i="3"/>
  <c r="AH23" i="3"/>
  <c r="AH25" i="3" s="1"/>
  <c r="AG25" i="3"/>
  <c r="AG50" i="3" s="1"/>
  <c r="AM28" i="3"/>
  <c r="AL46" i="3"/>
  <c r="AC34" i="3"/>
  <c r="AC52" i="3" s="1"/>
  <c r="AO43" i="3"/>
  <c r="L35" i="3"/>
  <c r="L37" i="3" s="1"/>
  <c r="K53" i="3"/>
  <c r="K37" i="3"/>
  <c r="AE45" i="3"/>
  <c r="AE31" i="3"/>
  <c r="AE51" i="3" s="1"/>
  <c r="AK42" i="3"/>
  <c r="AF48" i="3"/>
  <c r="AF44" i="3"/>
  <c r="AF26" i="3"/>
  <c r="AF27" i="3" s="1"/>
  <c r="AF49" i="3"/>
  <c r="AJ41" i="3"/>
  <c r="AI30" i="3"/>
  <c r="AJ40" i="3"/>
  <c r="AJ39" i="3"/>
  <c r="AL29" i="3" l="1"/>
  <c r="AK47" i="3"/>
  <c r="AN28" i="3"/>
  <c r="AM46" i="3"/>
  <c r="L55" i="3"/>
  <c r="AC55" i="3" s="1"/>
  <c r="AQ43" i="3"/>
  <c r="AP43" i="3"/>
  <c r="L53" i="3"/>
  <c r="AC35" i="3"/>
  <c r="AK41" i="3"/>
  <c r="AF45" i="3"/>
  <c r="AF31" i="3"/>
  <c r="AF51" i="3" s="1"/>
  <c r="AI23" i="3"/>
  <c r="AI25" i="3" s="1"/>
  <c r="AH50" i="3"/>
  <c r="AL42" i="3"/>
  <c r="AG26" i="3"/>
  <c r="AG27" i="3" s="1"/>
  <c r="AG48" i="3"/>
  <c r="AG44" i="3"/>
  <c r="AG49" i="3"/>
  <c r="AJ30" i="3"/>
  <c r="AK39" i="3"/>
  <c r="AK40" i="3"/>
  <c r="AO28" i="3" l="1"/>
  <c r="AN46" i="3"/>
  <c r="AL47" i="3"/>
  <c r="AM29" i="3"/>
  <c r="AD32" i="3"/>
  <c r="AC37" i="3"/>
  <c r="AG45" i="3"/>
  <c r="AG31" i="3"/>
  <c r="AG51" i="3" s="1"/>
  <c r="AM42" i="3"/>
  <c r="AH26" i="3"/>
  <c r="AH27" i="3" s="1"/>
  <c r="AH48" i="3"/>
  <c r="AH44" i="3"/>
  <c r="AH49" i="3"/>
  <c r="AJ23" i="3"/>
  <c r="AJ25" i="3" s="1"/>
  <c r="AI50" i="3"/>
  <c r="AL41" i="3"/>
  <c r="AK30" i="3"/>
  <c r="AL39" i="3"/>
  <c r="AL40" i="3"/>
  <c r="AP28" i="3" l="1"/>
  <c r="AO46" i="3"/>
  <c r="AN29" i="3"/>
  <c r="AM47" i="3"/>
  <c r="AD33" i="3"/>
  <c r="AD34" i="3" s="1"/>
  <c r="AD52" i="3" s="1"/>
  <c r="AI44" i="3"/>
  <c r="AI26" i="3"/>
  <c r="AI27" i="3" s="1"/>
  <c r="AI48" i="3"/>
  <c r="AI49" i="3"/>
  <c r="AM41" i="3"/>
  <c r="AK23" i="3"/>
  <c r="AK25" i="3" s="1"/>
  <c r="AJ50" i="3"/>
  <c r="AH45" i="3"/>
  <c r="AH31" i="3"/>
  <c r="AH51" i="3" s="1"/>
  <c r="AN42" i="3"/>
  <c r="AL30" i="3"/>
  <c r="AM40" i="3"/>
  <c r="AM39" i="3"/>
  <c r="AO29" i="3" l="1"/>
  <c r="AN47" i="3"/>
  <c r="AQ28" i="3"/>
  <c r="AQ46" i="3" s="1"/>
  <c r="AP46" i="3"/>
  <c r="AD35" i="3"/>
  <c r="AL23" i="3"/>
  <c r="AL25" i="3" s="1"/>
  <c r="AK50" i="3"/>
  <c r="AN41" i="3"/>
  <c r="AO42" i="3"/>
  <c r="AJ44" i="3"/>
  <c r="AJ26" i="3"/>
  <c r="AJ27" i="3" s="1"/>
  <c r="AJ48" i="3"/>
  <c r="AJ49" i="3"/>
  <c r="AI45" i="3"/>
  <c r="AI31" i="3"/>
  <c r="AI51" i="3" s="1"/>
  <c r="AM30" i="3"/>
  <c r="AN39" i="3"/>
  <c r="AN40" i="3"/>
  <c r="AP29" i="3" l="1"/>
  <c r="AO47" i="3"/>
  <c r="AD37" i="3"/>
  <c r="AD55" i="3"/>
  <c r="AJ45" i="3"/>
  <c r="AJ31" i="3"/>
  <c r="AJ51" i="3" s="1"/>
  <c r="AP42" i="3"/>
  <c r="AO41" i="3"/>
  <c r="AK44" i="3"/>
  <c r="AK26" i="3"/>
  <c r="AK27" i="3" s="1"/>
  <c r="AK48" i="3"/>
  <c r="AK49" i="3"/>
  <c r="AM23" i="3"/>
  <c r="AM25" i="3" s="1"/>
  <c r="AL50" i="3"/>
  <c r="AN30" i="3"/>
  <c r="AO40" i="3"/>
  <c r="AO39" i="3"/>
  <c r="AQ29" i="3" l="1"/>
  <c r="AQ47" i="3" s="1"/>
  <c r="AP47" i="3"/>
  <c r="AE32" i="3"/>
  <c r="AK45" i="3"/>
  <c r="AK31" i="3"/>
  <c r="AK51" i="3" s="1"/>
  <c r="AN23" i="3"/>
  <c r="AN25" i="3" s="1"/>
  <c r="AM50" i="3"/>
  <c r="AP41" i="3"/>
  <c r="AQ42" i="3"/>
  <c r="AL44" i="3"/>
  <c r="AL26" i="3"/>
  <c r="AL27" i="3" s="1"/>
  <c r="AL48" i="3"/>
  <c r="AL49" i="3"/>
  <c r="AO30" i="3"/>
  <c r="AP39" i="3"/>
  <c r="AP40" i="3"/>
  <c r="AQ40" i="3" l="1"/>
  <c r="AE33" i="3"/>
  <c r="AE34" i="3" s="1"/>
  <c r="AE52" i="3" s="1"/>
  <c r="AL45" i="3"/>
  <c r="AL31" i="3"/>
  <c r="AL51" i="3" s="1"/>
  <c r="AO23" i="3"/>
  <c r="AO25" i="3" s="1"/>
  <c r="AN50" i="3"/>
  <c r="AQ41" i="3"/>
  <c r="AM26" i="3"/>
  <c r="AM27" i="3" s="1"/>
  <c r="AM44" i="3"/>
  <c r="AM48" i="3"/>
  <c r="AM49" i="3"/>
  <c r="AP30" i="3"/>
  <c r="AQ39" i="3"/>
  <c r="AE35" i="3" l="1"/>
  <c r="AE55" i="3" s="1"/>
  <c r="AF32" i="3" s="1"/>
  <c r="AM45" i="3"/>
  <c r="AM31" i="3"/>
  <c r="AM51" i="3" s="1"/>
  <c r="AN44" i="3"/>
  <c r="AN26" i="3"/>
  <c r="AN27" i="3" s="1"/>
  <c r="AN49" i="3"/>
  <c r="AN48" i="3"/>
  <c r="AP23" i="3"/>
  <c r="AP25" i="3" s="1"/>
  <c r="AO50" i="3"/>
  <c r="AQ30" i="3"/>
  <c r="AE37" i="3" l="1"/>
  <c r="AF33" i="3"/>
  <c r="AF34" i="3" s="1"/>
  <c r="AF52" i="3" s="1"/>
  <c r="AO48" i="3"/>
  <c r="AO44" i="3"/>
  <c r="AO26" i="3"/>
  <c r="AO27" i="3" s="1"/>
  <c r="AO49" i="3"/>
  <c r="AQ23" i="3"/>
  <c r="AQ25" i="3" s="1"/>
  <c r="AP50" i="3"/>
  <c r="AN45" i="3"/>
  <c r="AN31" i="3"/>
  <c r="AN51" i="3" s="1"/>
  <c r="AF35" i="3" l="1"/>
  <c r="AO45" i="3"/>
  <c r="AO31" i="3"/>
  <c r="AO51" i="3" s="1"/>
  <c r="AP44" i="3"/>
  <c r="AP26" i="3"/>
  <c r="AP27" i="3" s="1"/>
  <c r="AP49" i="3"/>
  <c r="AP48" i="3"/>
  <c r="AQ50" i="3"/>
  <c r="AF37" i="3" l="1"/>
  <c r="AF55" i="3"/>
  <c r="AP45" i="3"/>
  <c r="AP31" i="3"/>
  <c r="AP51" i="3" s="1"/>
  <c r="AQ44" i="3"/>
  <c r="AQ26" i="3"/>
  <c r="AQ27" i="3" s="1"/>
  <c r="AQ49" i="3"/>
  <c r="AQ48" i="3"/>
  <c r="AG32" i="3" l="1"/>
  <c r="AQ45" i="3"/>
  <c r="AQ31" i="3"/>
  <c r="AQ51" i="3" s="1"/>
  <c r="AG33" i="3" l="1"/>
  <c r="AG34" i="3" s="1"/>
  <c r="AG52" i="3" s="1"/>
  <c r="AG35" i="3" l="1"/>
  <c r="AG55" i="3" s="1"/>
  <c r="AG37" i="3" l="1"/>
  <c r="AH32" i="3"/>
  <c r="AH33" i="3" l="1"/>
  <c r="AH34" i="3" s="1"/>
  <c r="AH52" i="3" s="1"/>
  <c r="AH35" i="3" l="1"/>
  <c r="AH55" i="3" s="1"/>
  <c r="AI32" i="3" s="1"/>
  <c r="AI33" i="3" s="1"/>
  <c r="AH37" i="3" l="1"/>
  <c r="AI34" i="3"/>
  <c r="AI52" i="3" s="1"/>
  <c r="AI35" i="3" l="1"/>
  <c r="AI55" i="3" s="1"/>
  <c r="AI37" i="3" l="1"/>
  <c r="AJ32" i="3"/>
  <c r="AJ33" i="3" s="1"/>
  <c r="AJ34" i="3" l="1"/>
  <c r="AJ52" i="3" s="1"/>
  <c r="AJ35" i="3" l="1"/>
  <c r="AJ55" i="3" s="1"/>
  <c r="AJ37" i="3" l="1"/>
  <c r="AK32" i="3"/>
  <c r="AK33" i="3" s="1"/>
  <c r="AK34" i="3" l="1"/>
  <c r="AK52" i="3" s="1"/>
  <c r="AK35" i="3" l="1"/>
  <c r="AK37" i="3" s="1"/>
  <c r="AK55" i="3" l="1"/>
  <c r="AL32" i="3" l="1"/>
  <c r="AL33" i="3" s="1"/>
  <c r="AL34" i="3" s="1"/>
  <c r="AL52" i="3" s="1"/>
  <c r="AL35" i="3" l="1"/>
  <c r="AL55" i="3" s="1"/>
  <c r="AL37" i="3" l="1"/>
  <c r="AM32" i="3"/>
  <c r="AM33" i="3" s="1"/>
  <c r="AM34" i="3" l="1"/>
  <c r="AM52" i="3" s="1"/>
  <c r="AM35" i="3" l="1"/>
  <c r="AM55" i="3" s="1"/>
  <c r="AM37" i="3" l="1"/>
  <c r="AN32" i="3"/>
  <c r="AN33" i="3" s="1"/>
  <c r="AN34" i="3" l="1"/>
  <c r="AN52" i="3" s="1"/>
  <c r="AN35" i="3" l="1"/>
  <c r="AN55" i="3" s="1"/>
  <c r="AN37" i="3" l="1"/>
  <c r="AO32" i="3"/>
  <c r="AO33" i="3" s="1"/>
  <c r="AO34" i="3" l="1"/>
  <c r="AO52" i="3" s="1"/>
  <c r="AO35" i="3" l="1"/>
  <c r="AO55" i="3" s="1"/>
  <c r="AO37" i="3" l="1"/>
  <c r="AP32" i="3"/>
  <c r="AP33" i="3" s="1"/>
  <c r="AP34" i="3" l="1"/>
  <c r="AP52" i="3" s="1"/>
  <c r="AP35" i="3" l="1"/>
  <c r="AP55" i="3" s="1"/>
  <c r="AP37" i="3" l="1"/>
  <c r="AQ32" i="3"/>
  <c r="AQ33" i="3" l="1"/>
  <c r="AQ34" i="3" s="1"/>
  <c r="AQ52" i="3" s="1"/>
  <c r="AR32" i="3"/>
  <c r="AQ35" i="3" l="1"/>
  <c r="AQ55" i="3" s="1"/>
  <c r="AR55" i="3" s="1"/>
  <c r="AQ37" i="3" l="1"/>
  <c r="AR35" i="3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CK35" i="3" s="1"/>
  <c r="CL35" i="3" s="1"/>
  <c r="CM35" i="3" s="1"/>
  <c r="CN35" i="3" s="1"/>
  <c r="CO35" i="3" s="1"/>
  <c r="CP35" i="3" s="1"/>
  <c r="CQ35" i="3" s="1"/>
  <c r="CR35" i="3" s="1"/>
  <c r="CS35" i="3" s="1"/>
  <c r="CT35" i="3" s="1"/>
  <c r="CU35" i="3" s="1"/>
  <c r="CV35" i="3" s="1"/>
  <c r="CW35" i="3" s="1"/>
  <c r="CX35" i="3" s="1"/>
  <c r="CY35" i="3" s="1"/>
  <c r="CZ35" i="3" s="1"/>
  <c r="DA35" i="3" s="1"/>
  <c r="DB35" i="3" s="1"/>
  <c r="DC35" i="3" s="1"/>
  <c r="DD35" i="3" s="1"/>
  <c r="DE35" i="3" s="1"/>
  <c r="DF35" i="3" s="1"/>
  <c r="DG35" i="3" s="1"/>
  <c r="DH35" i="3" s="1"/>
  <c r="DI35" i="3" s="1"/>
  <c r="DJ35" i="3" s="1"/>
  <c r="DK35" i="3" s="1"/>
  <c r="DL35" i="3" s="1"/>
  <c r="DM35" i="3" s="1"/>
  <c r="DN35" i="3" s="1"/>
  <c r="DO35" i="3" s="1"/>
  <c r="DP35" i="3" s="1"/>
  <c r="DQ35" i="3" s="1"/>
  <c r="DR35" i="3" s="1"/>
  <c r="DS35" i="3" s="1"/>
  <c r="DT35" i="3" s="1"/>
  <c r="DU35" i="3" s="1"/>
  <c r="DV35" i="3" s="1"/>
  <c r="DW35" i="3" s="1"/>
  <c r="DX35" i="3" s="1"/>
  <c r="DY35" i="3" s="1"/>
  <c r="DZ35" i="3" s="1"/>
  <c r="EA35" i="3" s="1"/>
  <c r="EB35" i="3" s="1"/>
  <c r="EC35" i="3" s="1"/>
  <c r="ED35" i="3" s="1"/>
  <c r="EE35" i="3" s="1"/>
  <c r="EF35" i="3" s="1"/>
  <c r="EG35" i="3" s="1"/>
  <c r="EH35" i="3" s="1"/>
  <c r="EI35" i="3" s="1"/>
  <c r="EJ35" i="3" s="1"/>
  <c r="EK35" i="3" s="1"/>
  <c r="EL35" i="3" s="1"/>
  <c r="EM35" i="3" s="1"/>
  <c r="EN35" i="3" s="1"/>
  <c r="EO35" i="3" s="1"/>
  <c r="EP35" i="3" s="1"/>
  <c r="EQ35" i="3" s="1"/>
  <c r="ER35" i="3" s="1"/>
  <c r="ES35" i="3" s="1"/>
  <c r="ET35" i="3" s="1"/>
  <c r="EU35" i="3" s="1"/>
  <c r="EV35" i="3" s="1"/>
  <c r="EW35" i="3" s="1"/>
  <c r="EX35" i="3" s="1"/>
  <c r="EY35" i="3" s="1"/>
  <c r="EZ35" i="3" s="1"/>
  <c r="FA35" i="3" s="1"/>
  <c r="FB35" i="3" s="1"/>
  <c r="FC35" i="3" s="1"/>
  <c r="FD35" i="3" s="1"/>
  <c r="FE35" i="3" s="1"/>
  <c r="FF35" i="3" s="1"/>
  <c r="FG35" i="3" s="1"/>
  <c r="FH35" i="3" s="1"/>
  <c r="FI35" i="3" s="1"/>
  <c r="FJ35" i="3" s="1"/>
  <c r="FK35" i="3" s="1"/>
  <c r="FL35" i="3" s="1"/>
  <c r="FM35" i="3" s="1"/>
  <c r="FN35" i="3" s="1"/>
  <c r="FO35" i="3" s="1"/>
  <c r="FP35" i="3" s="1"/>
  <c r="FQ35" i="3" s="1"/>
  <c r="FR35" i="3" s="1"/>
  <c r="FS35" i="3" s="1"/>
  <c r="FT35" i="3" s="1"/>
  <c r="FU35" i="3" s="1"/>
  <c r="FV35" i="3" s="1"/>
  <c r="FW35" i="3" s="1"/>
  <c r="FX35" i="3" s="1"/>
  <c r="FY35" i="3" s="1"/>
  <c r="FZ35" i="3" s="1"/>
  <c r="GA35" i="3" s="1"/>
  <c r="GB35" i="3" s="1"/>
  <c r="GC35" i="3" s="1"/>
  <c r="GD35" i="3" s="1"/>
  <c r="GE35" i="3" s="1"/>
  <c r="GF35" i="3" s="1"/>
  <c r="GG35" i="3" s="1"/>
  <c r="GH35" i="3" s="1"/>
  <c r="GI35" i="3" s="1"/>
  <c r="GJ35" i="3" s="1"/>
  <c r="GK35" i="3" s="1"/>
  <c r="AT42" i="3" l="1"/>
  <c r="AT43" i="3" s="1"/>
  <c r="AT44" i="3" s="1"/>
  <c r="H104" i="3"/>
  <c r="I105" i="3" s="1"/>
  <c r="G104" i="3"/>
  <c r="H105" i="3" l="1"/>
  <c r="G105" i="3"/>
  <c r="Q27" i="3" l="1"/>
  <c r="Q45" i="3" s="1"/>
  <c r="Q48" i="3"/>
  <c r="Q49" i="3"/>
  <c r="Q44" i="3"/>
  <c r="Q50" i="3"/>
  <c r="R44" i="3"/>
  <c r="Q31" i="3" l="1"/>
  <c r="Q33" i="3" l="1"/>
  <c r="Q51" i="3"/>
  <c r="Q35" i="3" l="1"/>
  <c r="Q37" i="3" s="1"/>
  <c r="Q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tc={A6D49604-0DE2-4AEA-B9E8-D01BF58C0D1B}</author>
    <author>tc={B1A920A9-DAB2-44D3-8642-75BBA2271FCE}</author>
    <author>tc={259DC96B-31C6-402B-9E42-BE0864BA6525}</author>
    <author>tc={7B06D6AB-85D8-4B1F-8F1B-895092947E84}</author>
    <author>tc={1835CD94-907A-4C5E-98C5-93633FEC0166}</author>
    <author>tc={1538F9CD-B760-4B7E-BB7C-BF02A37B882B}</author>
  </authors>
  <commentList>
    <comment ref="AB18" authorId="0" shapeId="0" xr:uid="{A6D49604-0DE2-4AEA-B9E8-D01BF58C0D1B}">
      <text>
        <t>[Threaded comment]
Your version of Excel allows you to read this threaded comment; however, any edits to it will get removed if the file is opened in a newer version of Excel. Learn more: https://go.microsoft.com/fwlink/?linkid=870924
Comment:
    Group is aproachin 2024 with caution and pragmatism</t>
      </text>
    </comment>
    <comment ref="I41" authorId="1" shapeId="0" xr:uid="{B1A920A9-DAB2-44D3-8642-75BBA2271FCE}">
      <text>
        <t>[Threaded comment]
Your version of Excel allows you to read this threaded comment; however, any edits to it will get removed if the file is opened in a newer version of Excel. Learn more: https://go.microsoft.com/fwlink/?linkid=870924
Comment:
    6% organic</t>
      </text>
    </comment>
    <comment ref="I42" authorId="2" shapeId="0" xr:uid="{259DC96B-31C6-402B-9E42-BE0864BA6525}">
      <text>
        <t>[Threaded comment]
Your version of Excel allows you to read this threaded comment; however, any edits to it will get removed if the file is opened in a newer version of Excel. Learn more: https://go.microsoft.com/fwlink/?linkid=870924
Comment:
    Organic 3%</t>
      </text>
    </comment>
    <comment ref="I43" authorId="3" shapeId="0" xr:uid="{7B06D6AB-85D8-4B1F-8F1B-895092947E84}">
      <text>
        <t>[Threaded comment]
Your version of Excel allows you to read this threaded comment; however, any edits to it will get removed if the file is opened in a newer version of Excel. Learn more: https://go.microsoft.com/fwlink/?linkid=870924
Comment:
    8% organic</t>
      </text>
    </comment>
    <comment ref="I44" authorId="4" shapeId="0" xr:uid="{1835CD94-907A-4C5E-98C5-93633FEC0166}">
      <text>
        <t>[Threaded comment]
Your version of Excel allows you to read this threaded comment; however, any edits to it will get removed if the file is opened in a newer version of Excel. Learn more: https://go.microsoft.com/fwlink/?linkid=870924
Comment:
    2% Organic</t>
      </text>
    </comment>
    <comment ref="AA44" authorId="5" shapeId="0" xr:uid="{1538F9CD-B760-4B7E-BB7C-BF02A37B882B}">
      <text>
        <t>[Threaded comment]
Your version of Excel allows you to read this threaded comment; however, any edits to it will get removed if the file is opened in a newer version of Excel. Learn more: https://go.microsoft.com/fwlink/?linkid=870924
Comment:
    13% in CC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tc={D1ACF680-E126-43FF-924A-3AF16B41BBB4}</author>
  </authors>
  <commentList>
    <comment ref="B9" authorId="0" shapeId="0" xr:uid="{D1ACF680-E126-43FF-924A-3AF16B41BBB4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Sophera and wines</t>
      </text>
    </comment>
  </commentList>
</comments>
</file>

<file path=xl/sharedStrings.xml><?xml version="1.0" encoding="utf-8"?>
<sst xmlns="http://schemas.openxmlformats.org/spreadsheetml/2006/main" count="240" uniqueCount="164">
  <si>
    <t>Selective Retailing</t>
  </si>
  <si>
    <t>Revenue</t>
  </si>
  <si>
    <t>Year</t>
  </si>
  <si>
    <t>COGS</t>
  </si>
  <si>
    <t>M&amp;S</t>
  </si>
  <si>
    <t>G&amp;A</t>
  </si>
  <si>
    <t>OPEX</t>
  </si>
  <si>
    <t>EBIT</t>
  </si>
  <si>
    <t>Other</t>
  </si>
  <si>
    <t>Tax</t>
  </si>
  <si>
    <t>Net Income</t>
  </si>
  <si>
    <t>Shares</t>
  </si>
  <si>
    <t>EPS</t>
  </si>
  <si>
    <t>Gross Margin</t>
  </si>
  <si>
    <t>Cash</t>
  </si>
  <si>
    <t>Debt</t>
  </si>
  <si>
    <t>NC</t>
  </si>
  <si>
    <t>Wines&amp;Spirits</t>
  </si>
  <si>
    <t>Fashion&amp;Leather Goods</t>
  </si>
  <si>
    <t>Perfumes&amp;Cosmetics</t>
  </si>
  <si>
    <t>Watches&amp;Jevelery</t>
  </si>
  <si>
    <t>CFFO</t>
  </si>
  <si>
    <t>Price</t>
  </si>
  <si>
    <t>S/O</t>
  </si>
  <si>
    <t>M Cap</t>
  </si>
  <si>
    <t>EV</t>
  </si>
  <si>
    <t>H223</t>
  </si>
  <si>
    <t>E</t>
  </si>
  <si>
    <t>EV/E</t>
  </si>
  <si>
    <t>CapEx</t>
  </si>
  <si>
    <t>FCF</t>
  </si>
  <si>
    <t>H123</t>
  </si>
  <si>
    <t>H222</t>
  </si>
  <si>
    <t>H122</t>
  </si>
  <si>
    <t>H221</t>
  </si>
  <si>
    <t>H121</t>
  </si>
  <si>
    <t>Revenue y/y</t>
  </si>
  <si>
    <t>H124</t>
  </si>
  <si>
    <t>H224</t>
  </si>
  <si>
    <t>CEO</t>
  </si>
  <si>
    <t>Bernard Arnault</t>
  </si>
  <si>
    <t>Segments</t>
  </si>
  <si>
    <t>% of revenue</t>
  </si>
  <si>
    <t>Products</t>
  </si>
  <si>
    <t>Competion</t>
  </si>
  <si>
    <t>Source</t>
  </si>
  <si>
    <t>Tiffany, Bulgari, TAH Heur</t>
  </si>
  <si>
    <t>Stores</t>
  </si>
  <si>
    <t>Tax Margin</t>
  </si>
  <si>
    <t>Net Margin</t>
  </si>
  <si>
    <t>Dior, LV, Fendu, Loro Piana, Marc Jacobs, Givenchy´s, Kenzo</t>
  </si>
  <si>
    <t>DFS (Cruisse), Sephora, Le Bom Marché</t>
  </si>
  <si>
    <t>G&amp;A y/y</t>
  </si>
  <si>
    <t>M&amp;S y/y</t>
  </si>
  <si>
    <t>LVMH Market Share</t>
  </si>
  <si>
    <t>https://www.alliedmarketresearch.com/luxury-wines-and-spirits-market</t>
  </si>
  <si>
    <t>Brown-Forman, Pernod Ricard, Bacardi, Thai Beverages, Davide Campari, Hitejinro, Suntoy, Bayadere</t>
  </si>
  <si>
    <t>Notes</t>
  </si>
  <si>
    <t>Watches&amp;Jewelery</t>
  </si>
  <si>
    <t>Maturity</t>
  </si>
  <si>
    <t>ROIC</t>
  </si>
  <si>
    <t>Dis</t>
  </si>
  <si>
    <t>Upside</t>
  </si>
  <si>
    <t>Rolex, Cartier and Patelk Philipes</t>
  </si>
  <si>
    <t>Today, the strong bounce in consumer spending is drawing to an end as geopolitical uncertainties and inflation have taken hold.</t>
  </si>
  <si>
    <t>Looking ahead, the pace of growth in the luxury market should normalize.</t>
  </si>
  <si>
    <t>Dior, Givenchy, Kenzo, Acqua di Parma</t>
  </si>
  <si>
    <t xml:space="preserve">In an environment that remains uncertain, especially in the United States and China, and with shifts in consumer behavior, the business group is approaching 2024 with caution and pragmatism. </t>
  </si>
  <si>
    <t>The Fashion &amp; Leather Goods business group continued to achieve strong growth. Its Maisons’ ability to continuously reinvent themselves, its talented designers, its expert craftspeople, the quality-driven development of its stores and its teams’ quest for excellence in elevating the customer experience all contributed to this momentum.</t>
  </si>
  <si>
    <t>In 2024, the Watches &amp; Jewelry business group will aim to maintain its growth and continue gaining market share. Given the current tensions and uncertainties, the Watches &amp; Jewelry Maisons will continue to manage costs and remain selective in their investments.</t>
  </si>
  <si>
    <t>AR</t>
  </si>
  <si>
    <t>Invent</t>
  </si>
  <si>
    <t>Sale</t>
  </si>
  <si>
    <t>Equity</t>
  </si>
  <si>
    <t>Lease</t>
  </si>
  <si>
    <t>PP&amp;E</t>
  </si>
  <si>
    <t>Goodwill</t>
  </si>
  <si>
    <t>Assets</t>
  </si>
  <si>
    <t>Provissions</t>
  </si>
  <si>
    <t>AP</t>
  </si>
  <si>
    <t>Minory Shares</t>
  </si>
  <si>
    <t>Liabilities</t>
  </si>
  <si>
    <t>Reported NI</t>
  </si>
  <si>
    <t>Dividends</t>
  </si>
  <si>
    <t>D&amp;A</t>
  </si>
  <si>
    <t>Interest</t>
  </si>
  <si>
    <t>CNWC</t>
  </si>
  <si>
    <t>Purchase&amp;Proceeds</t>
  </si>
  <si>
    <t>CFFI</t>
  </si>
  <si>
    <t>FCF TTM</t>
  </si>
  <si>
    <t>NI TTM</t>
  </si>
  <si>
    <t>CapEx TTM</t>
  </si>
  <si>
    <t>Purchase&amp;Proceeds minority</t>
  </si>
  <si>
    <t>Proceeds Debt</t>
  </si>
  <si>
    <t>Repayments</t>
  </si>
  <si>
    <t>Purchase&amp;Proceeds Marks</t>
  </si>
  <si>
    <t>CFFF</t>
  </si>
  <si>
    <t>Operating free cash flow halved due to major investments in exceptional real estate and in operational inventories, notably in high jewelry</t>
  </si>
  <si>
    <t>An excellent first half despite a disrupted environment.</t>
  </si>
  <si>
    <t>Cognac&amp;Spirits -11% organic by Useconomic enviroment and distributors high levels of inventory at beginning of the year</t>
  </si>
  <si>
    <t>LVMH is confident in its ability to continue to grow in 2024</t>
  </si>
  <si>
    <t>https://www.globaldata.com/store/report/wine-and-spirits-market-analysis/</t>
  </si>
  <si>
    <t>Market size</t>
  </si>
  <si>
    <t>CARG17-23</t>
  </si>
  <si>
    <t>y/y</t>
  </si>
  <si>
    <t>Industry</t>
  </si>
  <si>
    <t>Diageo</t>
  </si>
  <si>
    <t>Pernod Ricard</t>
  </si>
  <si>
    <t>LVMH</t>
  </si>
  <si>
    <t>In EUR</t>
  </si>
  <si>
    <t>Op Margin</t>
  </si>
  <si>
    <t>Constellation Brands</t>
  </si>
  <si>
    <t>In USD</t>
  </si>
  <si>
    <t>Brown Fornan</t>
  </si>
  <si>
    <t>H124 tinhas expectativas altas demais</t>
  </si>
  <si>
    <t>H125</t>
  </si>
  <si>
    <t>H225</t>
  </si>
  <si>
    <t>ROE</t>
  </si>
  <si>
    <t>Acquisitions</t>
  </si>
  <si>
    <t>L´Epée 1839</t>
  </si>
  <si>
    <t>Chez L´Ami Loius</t>
  </si>
  <si>
    <t>Hermes</t>
  </si>
  <si>
    <t>Hermes,  Kering, Ermenegildlo, Brunello</t>
  </si>
  <si>
    <t>USA and Europe achieved growth on CC</t>
  </si>
  <si>
    <t>Japan Double digit growth</t>
  </si>
  <si>
    <t>Results show resilient</t>
  </si>
  <si>
    <t>Europe</t>
  </si>
  <si>
    <t>France</t>
  </si>
  <si>
    <t>US</t>
  </si>
  <si>
    <t>JP</t>
  </si>
  <si>
    <t>Asia</t>
  </si>
  <si>
    <t>Kering</t>
  </si>
  <si>
    <t>Emergildo</t>
  </si>
  <si>
    <t>Brunello</t>
  </si>
  <si>
    <t>Burberry</t>
  </si>
  <si>
    <t>Main</t>
  </si>
  <si>
    <t>Market Share</t>
  </si>
  <si>
    <t>Ideias</t>
  </si>
  <si>
    <t>As minhas expectativas é que a empresa cresça com o crescimento da industria</t>
  </si>
  <si>
    <t>e a roubar market share da kering e da burberry ???</t>
  </si>
  <si>
    <t>Acho que o crescimento proposto é sustentável</t>
  </si>
  <si>
    <t>Esta queda de receita é causada pelo macro</t>
  </si>
  <si>
    <t>Resumo:</t>
  </si>
  <si>
    <t>Queda de receita derivado do macro - Todas as empresa têm sentido dificuldades, LVMH é das mais resilientes</t>
  </si>
  <si>
    <t>Pouca competição - Hermes é a maior rival mas mesmoassim muito mais pequena</t>
  </si>
  <si>
    <t xml:space="preserve">Recuperação da industria, com o melhorar da economia e ganho de margens em relação a outras empresas ( Burberry e Kering maiores exemplos) porque estão a levar ganda porrada e  não vão conseguir recuperar </t>
  </si>
  <si>
    <t>Hotel and media divisions ( Royal Van Lent)</t>
  </si>
  <si>
    <t>Wine and spririts have a retailer destocking and unfavorable macro in China</t>
  </si>
  <si>
    <t>DOM Perignon, Veuve Clicquot, Krug, Ruinart, Moet &amp; Chandon, Armand de Brignac, Joseph Philis, Chateau d esclans, Minuty, Chateau galoupet, terrazas de los andes, cloudy bay</t>
  </si>
  <si>
    <t>Dom Perignot</t>
  </si>
  <si>
    <t>Veuve Clicquot</t>
  </si>
  <si>
    <t xml:space="preserve">Krug </t>
  </si>
  <si>
    <t>Ruinart</t>
  </si>
  <si>
    <t>Moet&amp;Chandon</t>
  </si>
  <si>
    <t>Armand de Brignac</t>
  </si>
  <si>
    <t>Joseph Philips</t>
  </si>
  <si>
    <t>Chateau dÉscolans</t>
  </si>
  <si>
    <t>S&amp;M&amp;G&amp;A % of revenue</t>
  </si>
  <si>
    <t>Operating Income</t>
  </si>
  <si>
    <t>Pretax Income</t>
  </si>
  <si>
    <t>Taxes</t>
  </si>
  <si>
    <t xml:space="preserve">M&amp;S % </t>
  </si>
  <si>
    <t xml:space="preserve">G&amp;A % 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</si>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</sst>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6" fillId="0" borderId="0" xfId="0" applyFont="1"/>
    <xf numFmtId="3" fontId="6" fillId="0" borderId="0" xfId="0" applyNumberFormat="1" applyFont="1"/>
    <xf numFmtId="3" fontId="7" fillId="0" borderId="0" xfId="0" applyNumberFormat="1" applyFont="1"/>
    <xf numFmtId="4" fontId="6" fillId="0" borderId="0" xfId="0" applyNumberFormat="1" applyFont="1"/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9" fontId="6" fillId="0" borderId="0" xfId="0" applyNumberFormat="1" applyFont="1"/>
    <xf numFmtId="3" fontId="4" fillId="0" borderId="0" xfId="0" applyNumberFormat="1" applyFont="1"/>
    <xf numFmtId="3" fontId="5" fillId="0" borderId="0" xfId="0" applyNumberFormat="1" applyFont="1" applyAlignment="1">
      <alignment horizontal="right"/>
    </xf>
    <xf numFmtId="3" fontId="3" fillId="0" borderId="0" xfId="0" applyNumberFormat="1" applyFont="1"/>
    <xf numFmtId="9" fontId="6" fillId="0" borderId="0" xfId="0" applyNumberFormat="1" applyFont="1" applyAlignment="1">
      <alignment horizontal="right"/>
    </xf>
    <xf numFmtId="9" fontId="4" fillId="0" borderId="0" xfId="0" applyNumberFormat="1" applyFont="1"/>
    <xf numFmtId="9" fontId="7" fillId="0" borderId="0" xfId="0" applyNumberFormat="1" applyFont="1"/>
    <xf numFmtId="9" fontId="7" fillId="0" borderId="0" xfId="0" applyNumberFormat="1" applyFont="1" applyAlignment="1">
      <alignment horizontal="right"/>
    </xf>
    <xf numFmtId="0" fontId="2" fillId="0" borderId="0" xfId="0" applyFont="1"/>
    <xf numFmtId="14" fontId="6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6" fillId="0" borderId="2" xfId="0" applyFont="1" applyBorder="1"/>
    <xf numFmtId="0" fontId="2" fillId="0" borderId="2" xfId="0" applyFont="1" applyBorder="1"/>
    <xf numFmtId="0" fontId="6" fillId="0" borderId="3" xfId="0" applyFont="1" applyBorder="1"/>
    <xf numFmtId="0" fontId="4" fillId="0" borderId="4" xfId="0" applyFont="1" applyBorder="1"/>
    <xf numFmtId="3" fontId="6" fillId="0" borderId="5" xfId="0" applyNumberFormat="1" applyFont="1" applyBorder="1"/>
    <xf numFmtId="0" fontId="4" fillId="0" borderId="6" xfId="0" applyFont="1" applyBorder="1"/>
    <xf numFmtId="0" fontId="4" fillId="0" borderId="4" xfId="0" applyFont="1" applyBorder="1" applyAlignment="1">
      <alignment horizontal="center"/>
    </xf>
    <xf numFmtId="9" fontId="6" fillId="0" borderId="5" xfId="0" applyNumberFormat="1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8" fillId="0" borderId="0" xfId="1"/>
    <xf numFmtId="9" fontId="2" fillId="0" borderId="0" xfId="0" applyNumberFormat="1" applyFont="1"/>
    <xf numFmtId="0" fontId="1" fillId="0" borderId="0" xfId="0" applyFont="1"/>
    <xf numFmtId="0" fontId="7" fillId="0" borderId="0" xfId="0" applyFont="1"/>
    <xf numFmtId="0" fontId="1" fillId="0" borderId="2" xfId="0" applyFont="1" applyBorder="1"/>
    <xf numFmtId="3" fontId="1" fillId="0" borderId="0" xfId="0" applyNumberFormat="1" applyFont="1" applyAlignment="1">
      <alignment horizontal="right"/>
    </xf>
    <xf numFmtId="165" fontId="6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Model!$B$18</c:f>
              <c:strCache>
                <c:ptCount val="1"/>
                <c:pt idx="0">
                  <c:v>Wines&amp;Spirits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Model!$O$2:$AA$2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Model!$O$18:$AA$18</c:f>
              <c:numCache>
                <c:formatCode>#,##0</c:formatCode>
                <c:ptCount val="13"/>
                <c:pt idx="0">
                  <c:v>3524</c:v>
                </c:pt>
                <c:pt idx="1">
                  <c:v>4137</c:v>
                </c:pt>
                <c:pt idx="2">
                  <c:v>4187</c:v>
                </c:pt>
                <c:pt idx="3">
                  <c:v>3973</c:v>
                </c:pt>
                <c:pt idx="4">
                  <c:v>4603</c:v>
                </c:pt>
                <c:pt idx="5">
                  <c:v>4835</c:v>
                </c:pt>
                <c:pt idx="6">
                  <c:v>5084</c:v>
                </c:pt>
                <c:pt idx="7">
                  <c:v>5143</c:v>
                </c:pt>
                <c:pt idx="8">
                  <c:v>5576</c:v>
                </c:pt>
                <c:pt idx="9">
                  <c:v>4755</c:v>
                </c:pt>
                <c:pt idx="10">
                  <c:v>5974</c:v>
                </c:pt>
                <c:pt idx="11">
                  <c:v>7099</c:v>
                </c:pt>
                <c:pt idx="12">
                  <c:v>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3-4940-885A-8CD7F0046285}"/>
            </c:ext>
          </c:extLst>
        </c:ser>
        <c:ser>
          <c:idx val="1"/>
          <c:order val="1"/>
          <c:tx>
            <c:strRef>
              <c:f>Model!$B$19</c:f>
              <c:strCache>
                <c:ptCount val="1"/>
                <c:pt idx="0">
                  <c:v>Fashion&amp;Leather Goods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Model!$O$2:$AA$2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Model!$O$19:$AA$19</c:f>
              <c:numCache>
                <c:formatCode>#,##0</c:formatCode>
                <c:ptCount val="13"/>
                <c:pt idx="0">
                  <c:v>8712</c:v>
                </c:pt>
                <c:pt idx="1">
                  <c:v>9926</c:v>
                </c:pt>
                <c:pt idx="2">
                  <c:v>9882</c:v>
                </c:pt>
                <c:pt idx="3">
                  <c:v>10828</c:v>
                </c:pt>
                <c:pt idx="4">
                  <c:v>12369</c:v>
                </c:pt>
                <c:pt idx="5">
                  <c:v>12775</c:v>
                </c:pt>
                <c:pt idx="6">
                  <c:v>15472</c:v>
                </c:pt>
                <c:pt idx="7">
                  <c:v>18455</c:v>
                </c:pt>
                <c:pt idx="8">
                  <c:v>22237</c:v>
                </c:pt>
                <c:pt idx="9">
                  <c:v>21207</c:v>
                </c:pt>
                <c:pt idx="10">
                  <c:v>30896</c:v>
                </c:pt>
                <c:pt idx="11">
                  <c:v>38648</c:v>
                </c:pt>
                <c:pt idx="12">
                  <c:v>42169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3-4940-885A-8CD7F0046285}"/>
            </c:ext>
          </c:extLst>
        </c:ser>
        <c:ser>
          <c:idx val="2"/>
          <c:order val="2"/>
          <c:tx>
            <c:strRef>
              <c:f>Model!$B$20</c:f>
              <c:strCache>
                <c:ptCount val="1"/>
                <c:pt idx="0">
                  <c:v>Perfumes&amp;Cosmetics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Model!$O$2:$AA$2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Model!$O$20:$AA$20</c:f>
              <c:numCache>
                <c:formatCode>#,##0</c:formatCode>
                <c:ptCount val="13"/>
                <c:pt idx="0">
                  <c:v>3195</c:v>
                </c:pt>
                <c:pt idx="1">
                  <c:v>3613</c:v>
                </c:pt>
                <c:pt idx="2">
                  <c:v>3717</c:v>
                </c:pt>
                <c:pt idx="3">
                  <c:v>3916</c:v>
                </c:pt>
                <c:pt idx="4">
                  <c:v>4671</c:v>
                </c:pt>
                <c:pt idx="5">
                  <c:v>4953</c:v>
                </c:pt>
                <c:pt idx="6">
                  <c:v>5560</c:v>
                </c:pt>
                <c:pt idx="7">
                  <c:v>6092</c:v>
                </c:pt>
                <c:pt idx="8">
                  <c:v>6835</c:v>
                </c:pt>
                <c:pt idx="9">
                  <c:v>5248</c:v>
                </c:pt>
                <c:pt idx="10">
                  <c:v>6608</c:v>
                </c:pt>
                <c:pt idx="11">
                  <c:v>7722</c:v>
                </c:pt>
                <c:pt idx="12">
                  <c:v>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3-4940-885A-8CD7F0046285}"/>
            </c:ext>
          </c:extLst>
        </c:ser>
        <c:ser>
          <c:idx val="3"/>
          <c:order val="3"/>
          <c:tx>
            <c:strRef>
              <c:f>Model!$B$21</c:f>
              <c:strCache>
                <c:ptCount val="1"/>
                <c:pt idx="0">
                  <c:v>Watches&amp;Jewelery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Model!$O$2:$AA$2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Model!$O$21:$AA$21</c:f>
              <c:numCache>
                <c:formatCode>#,##0</c:formatCode>
                <c:ptCount val="13"/>
                <c:pt idx="0">
                  <c:v>1949</c:v>
                </c:pt>
                <c:pt idx="1">
                  <c:v>2836</c:v>
                </c:pt>
                <c:pt idx="2">
                  <c:v>2784</c:v>
                </c:pt>
                <c:pt idx="3">
                  <c:v>2782</c:v>
                </c:pt>
                <c:pt idx="4">
                  <c:v>3308</c:v>
                </c:pt>
                <c:pt idx="5">
                  <c:v>3468</c:v>
                </c:pt>
                <c:pt idx="6">
                  <c:v>3805</c:v>
                </c:pt>
                <c:pt idx="7">
                  <c:v>4123</c:v>
                </c:pt>
                <c:pt idx="8">
                  <c:v>4405</c:v>
                </c:pt>
                <c:pt idx="9">
                  <c:v>3356</c:v>
                </c:pt>
                <c:pt idx="10">
                  <c:v>8964</c:v>
                </c:pt>
                <c:pt idx="11">
                  <c:v>10581</c:v>
                </c:pt>
                <c:pt idx="12">
                  <c:v>10902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33-4940-885A-8CD7F0046285}"/>
            </c:ext>
          </c:extLst>
        </c:ser>
        <c:ser>
          <c:idx val="4"/>
          <c:order val="4"/>
          <c:tx>
            <c:strRef>
              <c:f>Model!$B$22</c:f>
              <c:strCache>
                <c:ptCount val="1"/>
                <c:pt idx="0">
                  <c:v>Selective Retailing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Model!$O$2:$AA$2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Model!$O$22:$AA$22</c:f>
              <c:numCache>
                <c:formatCode>#,##0</c:formatCode>
                <c:ptCount val="13"/>
                <c:pt idx="0">
                  <c:v>6436</c:v>
                </c:pt>
                <c:pt idx="1">
                  <c:v>7879</c:v>
                </c:pt>
                <c:pt idx="2">
                  <c:v>8938</c:v>
                </c:pt>
                <c:pt idx="3">
                  <c:v>9534</c:v>
                </c:pt>
                <c:pt idx="4">
                  <c:v>11193</c:v>
                </c:pt>
                <c:pt idx="5">
                  <c:v>11973</c:v>
                </c:pt>
                <c:pt idx="6">
                  <c:v>13311</c:v>
                </c:pt>
                <c:pt idx="7">
                  <c:v>13646</c:v>
                </c:pt>
                <c:pt idx="8">
                  <c:v>14791</c:v>
                </c:pt>
                <c:pt idx="9">
                  <c:v>10155</c:v>
                </c:pt>
                <c:pt idx="10">
                  <c:v>11754</c:v>
                </c:pt>
                <c:pt idx="11">
                  <c:v>14852</c:v>
                </c:pt>
                <c:pt idx="12">
                  <c:v>17885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3-4940-885A-8CD7F0046285}"/>
            </c:ext>
          </c:extLst>
        </c:ser>
        <c:ser>
          <c:idx val="5"/>
          <c:order val="5"/>
          <c:tx>
            <c:strRef>
              <c:f>Model!$B$23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Model!$O$2:$AA$2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Model!$O$23:$AA$23</c:f>
              <c:numCache>
                <c:formatCode>#,##0</c:formatCode>
                <c:ptCount val="13"/>
                <c:pt idx="0">
                  <c:v>-157</c:v>
                </c:pt>
                <c:pt idx="1">
                  <c:v>-288</c:v>
                </c:pt>
                <c:pt idx="2">
                  <c:v>-359</c:v>
                </c:pt>
                <c:pt idx="3">
                  <c:v>312</c:v>
                </c:pt>
                <c:pt idx="4">
                  <c:v>448</c:v>
                </c:pt>
                <c:pt idx="5">
                  <c:v>638</c:v>
                </c:pt>
                <c:pt idx="6">
                  <c:v>651</c:v>
                </c:pt>
                <c:pt idx="7">
                  <c:v>-633</c:v>
                </c:pt>
                <c:pt idx="8">
                  <c:v>-174</c:v>
                </c:pt>
                <c:pt idx="9">
                  <c:v>-70</c:v>
                </c:pt>
                <c:pt idx="10">
                  <c:v>19</c:v>
                </c:pt>
                <c:pt idx="11">
                  <c:v>282</c:v>
                </c:pt>
                <c:pt idx="12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33-4940-885A-8CD7F0046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062208"/>
        <c:axId val="531073248"/>
      </c:barChart>
      <c:catAx>
        <c:axId val="5310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73248"/>
        <c:crosses val="autoZero"/>
        <c:auto val="1"/>
        <c:lblAlgn val="ctr"/>
        <c:lblOffset val="100"/>
        <c:noMultiLvlLbl val="0"/>
      </c:catAx>
      <c:valAx>
        <c:axId val="5310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158749</xdr:rowOff>
    </xdr:from>
    <xdr:to>
      <xdr:col>20</xdr:col>
      <xdr:colOff>433916</xdr:colOff>
      <xdr:row>43</xdr:row>
      <xdr:rowOff>74082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4A83D-8727-4209-A3D0-A2573749C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579120</xdr:colOff>
      <xdr:row>0</xdr:row>
      <xdr:rowOff>0</xdr:rowOff>
    </xdr:from>
    <xdr:to>
      <xdr:col>26</xdr:col>
      <xdr:colOff>601980</xdr:colOff>
      <xdr:row>127</xdr:row>
      <xdr:rowOff>53340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C13C2875-38C2-3B39-3F32-41EBFBD1EC46}"/>
            </a:ext>
          </a:extLst>
        </xdr:cNvPr>
        <xdr:cNvCxnSpPr/>
      </xdr:nvCxnSpPr>
      <xdr:spPr>
        <a:xfrm flipH="1">
          <a:off x="8176260" y="0"/>
          <a:ext cx="22860" cy="7261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620485</xdr:colOff>
      <xdr:row>0</xdr:row>
      <xdr:rowOff>43542</xdr:rowOff>
    </xdr:from>
    <xdr:to>
      <xdr:col>9</xdr:col>
      <xdr:colOff>54428</xdr:colOff>
      <xdr:row>143</xdr:row>
      <xdr:rowOff>43542</xdr:rowOff>
    </xdr:to>
    <xdr:cxnSp macro="">
      <xdr:nvCxnSpPr>
        <xdr:cNvPr id="4" name="Conexão reta 3">
          <a:extLst>
            <a:ext uri="{FF2B5EF4-FFF2-40B4-BE49-F238E27FC236}">
              <a16:creationId xmlns:a16="http://schemas.microsoft.com/office/drawing/2014/main" id="{CBACECD8-FC11-5D60-8AA4-6054DDE92D26}"/>
            </a:ext>
          </a:extLst>
        </xdr:cNvPr>
        <xdr:cNvCxnSpPr/>
      </xdr:nvCxnSpPr>
      <xdr:spPr>
        <a:xfrm>
          <a:off x="6139542" y="43542"/>
          <a:ext cx="54429" cy="20574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1</xdr:row>
      <xdr:rowOff>0</xdr:rowOff>
    </xdr:from>
    <xdr:to>
      <xdr:col>9</xdr:col>
      <xdr:colOff>0</xdr:colOff>
      <xdr:row>21</xdr:row>
      <xdr:rowOff>53340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43838700-56FB-90B0-0544-73CC047C446B}"/>
            </a:ext>
          </a:extLst>
        </xdr:cNvPr>
        <xdr:cNvCxnSpPr/>
      </xdr:nvCxnSpPr>
      <xdr:spPr>
        <a:xfrm>
          <a:off x="5676900" y="182880"/>
          <a:ext cx="15240" cy="34061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dal Gaspar Lopes" id="{9F37CF5A-6FF9-49C5-B103-E277848847A6}" userId="S::lopes.ag@afa.ium.pt::0d34080e-40b3-47f0-9ff4-2bd9f4b467cf" providerId="AD"/>
  <person displayName="Afonso Gaspar Lopes" id="{7477A6F6-6921-45F9-BC91-A59A0C1FCCC8}" userId="S::ist1110800@tecnico.ulisboa.pt::f75e8dad-ef15-47a2-950a-adf5c25dd7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8" dT="2024-03-08T22:24:43.71" personId="{9F37CF5A-6FF9-49C5-B103-E277848847A6}" id="{A6D49604-0DE2-4AEA-B9E8-D01BF58C0D1B}">
    <text>Group is aproachin 2024 with caution and pragmatism</text>
  </threadedComment>
  <threadedComment ref="I41" dT="2024-08-26T08:55:10.83" personId="{7477A6F6-6921-45F9-BC91-A59A0C1FCCC8}" id="{B1A920A9-DAB2-44D3-8642-75BBA2271FCE}">
    <text>6% organic</text>
  </threadedComment>
  <threadedComment ref="I42" dT="2024-08-26T08:55:29.89" personId="{7477A6F6-6921-45F9-BC91-A59A0C1FCCC8}" id="{259DC96B-31C6-402B-9E42-BE0864BA6525}">
    <text>Organic 3%</text>
  </threadedComment>
  <threadedComment ref="I43" dT="2024-08-26T08:55:50.73" personId="{7477A6F6-6921-45F9-BC91-A59A0C1FCCC8}" id="{7B06D6AB-85D8-4B1F-8F1B-895092947E84}">
    <text>8% organic</text>
  </threadedComment>
  <threadedComment ref="I44" dT="2024-08-26T05:25:31.66" personId="{7477A6F6-6921-45F9-BC91-A59A0C1FCCC8}" id="{1835CD94-907A-4C5E-98C5-93633FEC0166}">
    <text>2% Organic</text>
  </threadedComment>
  <threadedComment ref="AA44" dT="2024-03-08T22:18:51.50" personId="{9F37CF5A-6FF9-49C5-B103-E277848847A6}" id="{1538F9CD-B760-4B7E-BB7C-BF02A37B882B}">
    <text>13% in CC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9" dT="2024-08-26T08:10:21.18" personId="{7477A6F6-6921-45F9-BC91-A59A0C1FCCC8}" id="{D1ACF680-E126-43FF-924A-3AF16B41BBB4}">
    <text>Without Sophera and wines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liedmarketresearch.com/luxury-wines-and-spirits-mark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showGridLines="0" tabSelected="1" topLeftCell="E1" zoomScale="90" zoomScaleNormal="90" workbookViewId="0">
      <selection activeCell="F58" sqref="F58"/>
    </sheetView>
  </sheetViews>
  <sheetFormatPr defaultColWidth="8.88671875" defaultRowHeight="13.2" x14ac:dyDescent="0.25"/>
  <cols>
    <col min="1" max="1" width="8.88671875" style="1"/>
    <col min="2" max="2" width="20.6640625" style="1" bestFit="1" customWidth="1"/>
    <col min="3" max="3" width="17.44140625" style="31" bestFit="1" customWidth="1"/>
    <col min="4" max="4" width="154.88671875" style="1" bestFit="1" customWidth="1"/>
    <col min="5" max="5" width="86.5546875" style="1" bestFit="1" customWidth="1"/>
    <col min="6" max="6" width="8.88671875" style="1"/>
    <col min="7" max="7" width="11.109375" style="1" customWidth="1"/>
    <col min="8" max="16384" width="8.88671875" style="1"/>
  </cols>
  <sheetData>
    <row r="2" spans="2:12" x14ac:dyDescent="0.25">
      <c r="G2" s="37" t="s">
        <v>108</v>
      </c>
      <c r="L2" s="37" t="s">
        <v>137</v>
      </c>
    </row>
    <row r="3" spans="2:12" x14ac:dyDescent="0.25">
      <c r="B3" s="25" t="s">
        <v>41</v>
      </c>
      <c r="C3" s="28" t="s">
        <v>42</v>
      </c>
      <c r="D3" s="20" t="s">
        <v>43</v>
      </c>
      <c r="E3" s="20" t="s">
        <v>44</v>
      </c>
      <c r="G3" s="1" t="s">
        <v>22</v>
      </c>
      <c r="H3" s="1">
        <v>880</v>
      </c>
      <c r="L3" s="37" t="s">
        <v>114</v>
      </c>
    </row>
    <row r="4" spans="2:12" x14ac:dyDescent="0.25">
      <c r="B4" s="26" t="s">
        <v>17</v>
      </c>
      <c r="C4" s="29">
        <f>Model!H18/Model!H25</f>
        <v>7.7904037528750025E-2</v>
      </c>
      <c r="D4" s="39" t="s">
        <v>148</v>
      </c>
      <c r="E4" s="21" t="s">
        <v>56</v>
      </c>
      <c r="G4" s="1" t="s">
        <v>23</v>
      </c>
      <c r="H4" s="2">
        <v>502.04840000000002</v>
      </c>
      <c r="L4" s="37" t="s">
        <v>138</v>
      </c>
    </row>
    <row r="5" spans="2:12" x14ac:dyDescent="0.25">
      <c r="B5" s="26" t="s">
        <v>18</v>
      </c>
      <c r="C5" s="29">
        <f>Model!H19/Model!H25</f>
        <v>0.47837770136406077</v>
      </c>
      <c r="D5" s="21" t="s">
        <v>50</v>
      </c>
      <c r="E5" s="39" t="s">
        <v>122</v>
      </c>
      <c r="G5" s="1" t="s">
        <v>24</v>
      </c>
      <c r="H5" s="2">
        <f>H3*H4</f>
        <v>441802.592</v>
      </c>
      <c r="L5" s="37" t="s">
        <v>139</v>
      </c>
    </row>
    <row r="6" spans="2:12" x14ac:dyDescent="0.25">
      <c r="B6" s="26" t="s">
        <v>19</v>
      </c>
      <c r="C6" s="29">
        <f>Model!H20/Model!H25</f>
        <v>9.662286794343361E-2</v>
      </c>
      <c r="D6" s="23" t="s">
        <v>66</v>
      </c>
      <c r="E6" s="22"/>
      <c r="G6" s="1" t="s">
        <v>16</v>
      </c>
      <c r="H6" s="2">
        <f>Model!H55</f>
        <v>-13142</v>
      </c>
      <c r="L6" s="37" t="s">
        <v>140</v>
      </c>
    </row>
    <row r="7" spans="2:12" x14ac:dyDescent="0.25">
      <c r="B7" s="26" t="s">
        <v>20</v>
      </c>
      <c r="C7" s="29">
        <f>Model!H21/Model!H25</f>
        <v>0.12467834126568442</v>
      </c>
      <c r="D7" s="21" t="s">
        <v>46</v>
      </c>
      <c r="E7" s="23" t="s">
        <v>63</v>
      </c>
      <c r="G7" s="1" t="s">
        <v>25</v>
      </c>
      <c r="H7" s="2">
        <f>H5-H6</f>
        <v>454944.592</v>
      </c>
      <c r="L7" s="37" t="s">
        <v>141</v>
      </c>
    </row>
    <row r="8" spans="2:12" x14ac:dyDescent="0.25">
      <c r="B8" s="26" t="s">
        <v>0</v>
      </c>
      <c r="C8" s="29">
        <f>Model!H22/Model!H25</f>
        <v>0.21702001685150182</v>
      </c>
      <c r="D8" s="21" t="s">
        <v>51</v>
      </c>
      <c r="E8" s="22"/>
      <c r="G8" s="1" t="s">
        <v>27</v>
      </c>
      <c r="H8" s="2">
        <v>16000</v>
      </c>
      <c r="L8" s="37" t="s">
        <v>142</v>
      </c>
    </row>
    <row r="9" spans="2:12" x14ac:dyDescent="0.25">
      <c r="B9" s="27" t="s">
        <v>8</v>
      </c>
      <c r="C9" s="30">
        <f>Model!H23/Model!H25</f>
        <v>5.3970350465693531E-3</v>
      </c>
      <c r="D9" s="44" t="s">
        <v>146</v>
      </c>
      <c r="E9" s="24"/>
      <c r="G9" s="1" t="s">
        <v>28</v>
      </c>
      <c r="H9" s="32">
        <f>H7/H8</f>
        <v>28.434037</v>
      </c>
      <c r="L9" s="37" t="s">
        <v>143</v>
      </c>
    </row>
    <row r="10" spans="2:12" x14ac:dyDescent="0.25">
      <c r="L10" s="37" t="s">
        <v>144</v>
      </c>
    </row>
    <row r="11" spans="2:12" x14ac:dyDescent="0.25">
      <c r="G11" s="18"/>
      <c r="L11" s="37" t="s">
        <v>145</v>
      </c>
    </row>
    <row r="12" spans="2:12" x14ac:dyDescent="0.25">
      <c r="G12" s="38" t="s">
        <v>118</v>
      </c>
    </row>
    <row r="13" spans="2:12" x14ac:dyDescent="0.25">
      <c r="G13" s="19">
        <v>45468</v>
      </c>
      <c r="H13" s="37" t="s">
        <v>119</v>
      </c>
    </row>
    <row r="14" spans="2:12" x14ac:dyDescent="0.25">
      <c r="G14" s="19">
        <v>45463</v>
      </c>
      <c r="H14" s="37" t="s">
        <v>120</v>
      </c>
    </row>
    <row r="15" spans="2:12" x14ac:dyDescent="0.25">
      <c r="B15" s="37" t="s">
        <v>17</v>
      </c>
    </row>
    <row r="16" spans="2:12" x14ac:dyDescent="0.25">
      <c r="C16" s="45" t="s">
        <v>149</v>
      </c>
    </row>
    <row r="17" spans="3:7" x14ac:dyDescent="0.25">
      <c r="C17" s="45" t="s">
        <v>150</v>
      </c>
    </row>
    <row r="18" spans="3:7" x14ac:dyDescent="0.25">
      <c r="C18" s="45" t="s">
        <v>151</v>
      </c>
      <c r="G18" s="37"/>
    </row>
    <row r="19" spans="3:7" x14ac:dyDescent="0.25">
      <c r="C19" s="45" t="s">
        <v>152</v>
      </c>
    </row>
    <row r="20" spans="3:7" x14ac:dyDescent="0.25">
      <c r="C20" s="45" t="s">
        <v>153</v>
      </c>
    </row>
    <row r="21" spans="3:7" x14ac:dyDescent="0.25">
      <c r="C21" s="45" t="s">
        <v>154</v>
      </c>
    </row>
    <row r="22" spans="3:7" x14ac:dyDescent="0.25">
      <c r="C22" s="45" t="s">
        <v>155</v>
      </c>
    </row>
    <row r="23" spans="3:7" x14ac:dyDescent="0.25">
      <c r="C23" s="45" t="s">
        <v>156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C4CF-69FF-49BB-ACBB-8950764B5D65}">
  <dimension ref="B2:H23"/>
  <sheetViews>
    <sheetView workbookViewId="0">
      <selection activeCell="I10" sqref="I10"/>
    </sheetView>
  </sheetViews>
  <sheetFormatPr defaultColWidth="8.88671875" defaultRowHeight="13.2" x14ac:dyDescent="0.25"/>
  <cols>
    <col min="1" max="2" width="8.88671875" style="18"/>
    <col min="3" max="3" width="13.88671875" style="18" bestFit="1" customWidth="1"/>
    <col min="4" max="6" width="8.88671875" style="18"/>
    <col min="7" max="7" width="5.33203125" style="18" bestFit="1" customWidth="1"/>
    <col min="8" max="16384" width="8.88671875" style="18"/>
  </cols>
  <sheetData>
    <row r="2" spans="2:8" x14ac:dyDescent="0.25">
      <c r="B2" s="9" t="s">
        <v>39</v>
      </c>
      <c r="C2" s="9" t="s">
        <v>40</v>
      </c>
    </row>
    <row r="3" spans="2:8" x14ac:dyDescent="0.25">
      <c r="G3" s="37" t="s">
        <v>37</v>
      </c>
      <c r="H3" s="37" t="s">
        <v>123</v>
      </c>
    </row>
    <row r="4" spans="2:8" x14ac:dyDescent="0.25">
      <c r="G4" s="37" t="s">
        <v>37</v>
      </c>
      <c r="H4" s="37" t="s">
        <v>124</v>
      </c>
    </row>
    <row r="5" spans="2:8" x14ac:dyDescent="0.25">
      <c r="G5" s="37" t="s">
        <v>37</v>
      </c>
      <c r="H5" s="37" t="s">
        <v>125</v>
      </c>
    </row>
    <row r="6" spans="2:8" x14ac:dyDescent="0.25">
      <c r="G6" s="37" t="s">
        <v>37</v>
      </c>
      <c r="H6" s="37" t="s">
        <v>147</v>
      </c>
    </row>
    <row r="13" spans="2:8" x14ac:dyDescent="0.25">
      <c r="G13" s="18" t="s">
        <v>26</v>
      </c>
      <c r="H13" s="18" t="s">
        <v>64</v>
      </c>
    </row>
    <row r="14" spans="2:8" x14ac:dyDescent="0.25">
      <c r="G14" s="18" t="s">
        <v>26</v>
      </c>
      <c r="H14" s="18" t="s">
        <v>65</v>
      </c>
    </row>
    <row r="15" spans="2:8" x14ac:dyDescent="0.25">
      <c r="G15" s="18" t="s">
        <v>26</v>
      </c>
      <c r="H15" s="18" t="s">
        <v>67</v>
      </c>
    </row>
    <row r="16" spans="2:8" x14ac:dyDescent="0.25">
      <c r="G16" s="18" t="s">
        <v>26</v>
      </c>
      <c r="H16" s="18" t="s">
        <v>68</v>
      </c>
    </row>
    <row r="17" spans="7:8" x14ac:dyDescent="0.25">
      <c r="G17" s="18" t="s">
        <v>26</v>
      </c>
      <c r="H17" s="18" t="s">
        <v>69</v>
      </c>
    </row>
    <row r="18" spans="7:8" x14ac:dyDescent="0.25">
      <c r="G18" s="18" t="s">
        <v>26</v>
      </c>
      <c r="H18" s="18" t="s">
        <v>100</v>
      </c>
    </row>
    <row r="21" spans="7:8" x14ac:dyDescent="0.25">
      <c r="G21" s="18" t="s">
        <v>31</v>
      </c>
      <c r="H21" s="18" t="s">
        <v>97</v>
      </c>
    </row>
    <row r="22" spans="7:8" x14ac:dyDescent="0.25">
      <c r="G22" s="18" t="s">
        <v>31</v>
      </c>
      <c r="H22" s="18" t="s">
        <v>98</v>
      </c>
    </row>
    <row r="23" spans="7:8" x14ac:dyDescent="0.25">
      <c r="G23" s="18" t="s">
        <v>31</v>
      </c>
      <c r="H23" s="18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CD05-625D-43EC-BA7A-C3B783501C77}">
  <dimension ref="B2:GK137"/>
  <sheetViews>
    <sheetView zoomScale="88" zoomScaleNormal="70" workbookViewId="0">
      <pane xSplit="2" ySplit="2" topLeftCell="C94" activePane="bottomRight" state="frozen"/>
      <selection pane="topRight" activeCell="C1" sqref="C1"/>
      <selection pane="bottomLeft" activeCell="A3" sqref="A3"/>
      <selection pane="bottomRight" activeCell="D104" sqref="D104"/>
    </sheetView>
  </sheetViews>
  <sheetFormatPr defaultColWidth="8.88671875" defaultRowHeight="13.2" x14ac:dyDescent="0.25"/>
  <cols>
    <col min="1" max="1" width="8.88671875" style="1"/>
    <col min="2" max="2" width="26.88671875" style="1" bestFit="1" customWidth="1"/>
    <col min="3" max="5" width="7.33203125" style="1" bestFit="1" customWidth="1"/>
    <col min="6" max="6" width="7.33203125" style="5" bestFit="1" customWidth="1"/>
    <col min="7" max="8" width="8.33203125" style="5" bestFit="1" customWidth="1"/>
    <col min="9" max="10" width="9" style="5" bestFit="1" customWidth="1"/>
    <col min="11" max="12" width="8.88671875" style="5"/>
    <col min="13" max="24" width="8.88671875" style="1"/>
    <col min="25" max="32" width="9" style="1" bestFit="1" customWidth="1"/>
    <col min="33" max="33" width="9.88671875" style="1" bestFit="1" customWidth="1"/>
    <col min="34" max="43" width="9" style="1" bestFit="1" customWidth="1"/>
    <col min="44" max="45" width="8.88671875" style="1"/>
    <col min="46" max="46" width="11.6640625" style="1" bestFit="1" customWidth="1"/>
    <col min="47" max="16384" width="8.88671875" style="1"/>
  </cols>
  <sheetData>
    <row r="2" spans="2:45" x14ac:dyDescent="0.25">
      <c r="C2" s="38" t="s">
        <v>35</v>
      </c>
      <c r="D2" s="38" t="s">
        <v>34</v>
      </c>
      <c r="E2" s="38" t="s">
        <v>33</v>
      </c>
      <c r="F2" s="46" t="s">
        <v>32</v>
      </c>
      <c r="G2" s="46" t="s">
        <v>31</v>
      </c>
      <c r="H2" s="46" t="s">
        <v>26</v>
      </c>
      <c r="I2" s="46" t="s">
        <v>37</v>
      </c>
      <c r="J2" s="46" t="s">
        <v>38</v>
      </c>
      <c r="K2" s="46" t="s">
        <v>115</v>
      </c>
      <c r="L2" s="46" t="s">
        <v>116</v>
      </c>
      <c r="M2" s="38"/>
      <c r="N2" s="38" t="s">
        <v>2</v>
      </c>
      <c r="O2" s="38">
        <f t="shared" ref="O2:X2" si="0">P2-1</f>
        <v>2011</v>
      </c>
      <c r="P2" s="38">
        <f t="shared" si="0"/>
        <v>2012</v>
      </c>
      <c r="Q2" s="38">
        <f t="shared" si="0"/>
        <v>2013</v>
      </c>
      <c r="R2" s="38">
        <f t="shared" si="0"/>
        <v>2014</v>
      </c>
      <c r="S2" s="38">
        <f t="shared" si="0"/>
        <v>2015</v>
      </c>
      <c r="T2" s="38">
        <f t="shared" si="0"/>
        <v>2016</v>
      </c>
      <c r="U2" s="38">
        <f t="shared" si="0"/>
        <v>2017</v>
      </c>
      <c r="V2" s="38">
        <f t="shared" si="0"/>
        <v>2018</v>
      </c>
      <c r="W2" s="38">
        <f t="shared" si="0"/>
        <v>2019</v>
      </c>
      <c r="X2" s="38">
        <f t="shared" si="0"/>
        <v>2020</v>
      </c>
      <c r="Y2" s="38">
        <f>Z2-1</f>
        <v>2021</v>
      </c>
      <c r="Z2" s="38">
        <v>2022</v>
      </c>
      <c r="AA2" s="38">
        <f>Z2+1</f>
        <v>2023</v>
      </c>
      <c r="AB2" s="38">
        <f t="shared" ref="AB2" si="1">AA2+1</f>
        <v>2024</v>
      </c>
      <c r="AC2" s="38">
        <f t="shared" ref="AC2" si="2">AB2+1</f>
        <v>2025</v>
      </c>
      <c r="AD2" s="38">
        <f t="shared" ref="AD2" si="3">AC2+1</f>
        <v>2026</v>
      </c>
      <c r="AE2" s="38">
        <f t="shared" ref="AE2" si="4">AD2+1</f>
        <v>2027</v>
      </c>
      <c r="AF2" s="38">
        <f t="shared" ref="AF2" si="5">AE2+1</f>
        <v>2028</v>
      </c>
      <c r="AG2" s="38">
        <f t="shared" ref="AG2" si="6">AF2+1</f>
        <v>2029</v>
      </c>
      <c r="AH2" s="38">
        <f t="shared" ref="AH2" si="7">AG2+1</f>
        <v>2030</v>
      </c>
      <c r="AI2" s="38">
        <f t="shared" ref="AI2" si="8">AH2+1</f>
        <v>2031</v>
      </c>
      <c r="AJ2" s="38">
        <f t="shared" ref="AJ2" si="9">AI2+1</f>
        <v>2032</v>
      </c>
      <c r="AK2" s="38">
        <f t="shared" ref="AK2" si="10">AJ2+1</f>
        <v>2033</v>
      </c>
      <c r="AL2" s="38">
        <f t="shared" ref="AL2" si="11">AK2+1</f>
        <v>2034</v>
      </c>
      <c r="AM2" s="38">
        <f t="shared" ref="AM2" si="12">AL2+1</f>
        <v>2035</v>
      </c>
      <c r="AN2" s="38">
        <f t="shared" ref="AN2" si="13">AM2+1</f>
        <v>2036</v>
      </c>
      <c r="AO2" s="38">
        <f t="shared" ref="AO2" si="14">AN2+1</f>
        <v>2037</v>
      </c>
      <c r="AP2" s="38">
        <f t="shared" ref="AP2" si="15">AO2+1</f>
        <v>2038</v>
      </c>
      <c r="AQ2" s="38">
        <f t="shared" ref="AQ2" si="16">AP2+1</f>
        <v>2039</v>
      </c>
      <c r="AS2" s="9" t="s">
        <v>57</v>
      </c>
    </row>
    <row r="3" spans="2:45" s="2" customFormat="1" x14ac:dyDescent="0.25">
      <c r="B3" s="42" t="s">
        <v>127</v>
      </c>
      <c r="F3" s="6"/>
      <c r="G3" s="6">
        <v>515</v>
      </c>
      <c r="H3" s="6">
        <v>550</v>
      </c>
      <c r="I3" s="12">
        <v>546</v>
      </c>
      <c r="J3" s="12"/>
      <c r="K3" s="40"/>
      <c r="L3" s="40"/>
      <c r="O3" s="2">
        <v>390</v>
      </c>
      <c r="P3" s="2">
        <v>412</v>
      </c>
      <c r="Q3" s="2">
        <v>443</v>
      </c>
      <c r="AA3" s="6">
        <v>550</v>
      </c>
      <c r="AS3" s="11"/>
    </row>
    <row r="4" spans="2:45" s="2" customFormat="1" x14ac:dyDescent="0.25">
      <c r="B4" s="42" t="s">
        <v>126</v>
      </c>
      <c r="F4" s="6"/>
      <c r="G4" s="6">
        <v>1103</v>
      </c>
      <c r="H4" s="6">
        <v>1213</v>
      </c>
      <c r="I4" s="12">
        <v>1234</v>
      </c>
      <c r="J4" s="12"/>
      <c r="K4" s="40"/>
      <c r="L4" s="40"/>
      <c r="O4" s="2">
        <v>883</v>
      </c>
      <c r="P4" s="2">
        <v>910</v>
      </c>
      <c r="Q4" s="2">
        <v>926</v>
      </c>
      <c r="AA4" s="6">
        <v>1213</v>
      </c>
      <c r="AS4" s="11"/>
    </row>
    <row r="5" spans="2:45" s="2" customFormat="1" x14ac:dyDescent="0.25">
      <c r="B5" s="42" t="s">
        <v>128</v>
      </c>
      <c r="F5" s="6"/>
      <c r="G5" s="6">
        <v>1074</v>
      </c>
      <c r="H5" s="6">
        <v>1128</v>
      </c>
      <c r="I5" s="12">
        <v>1151</v>
      </c>
      <c r="J5" s="12"/>
      <c r="K5" s="40"/>
      <c r="L5" s="40"/>
      <c r="O5" s="2">
        <v>621</v>
      </c>
      <c r="P5" s="2">
        <v>644</v>
      </c>
      <c r="Q5" s="2">
        <v>669</v>
      </c>
      <c r="AA5" s="6">
        <v>1128</v>
      </c>
      <c r="AS5" s="11"/>
    </row>
    <row r="6" spans="2:45" s="2" customFormat="1" x14ac:dyDescent="0.25">
      <c r="B6" s="42" t="s">
        <v>129</v>
      </c>
      <c r="F6" s="6"/>
      <c r="G6" s="6">
        <v>493</v>
      </c>
      <c r="H6" s="6">
        <v>497</v>
      </c>
      <c r="I6" s="12">
        <v>502</v>
      </c>
      <c r="J6" s="12"/>
      <c r="K6" s="40"/>
      <c r="L6" s="40"/>
      <c r="O6" s="2">
        <v>360</v>
      </c>
      <c r="P6" s="2">
        <v>370</v>
      </c>
      <c r="Q6" s="2">
        <v>370</v>
      </c>
      <c r="AA6" s="6">
        <v>497</v>
      </c>
      <c r="AS6" s="11"/>
    </row>
    <row r="7" spans="2:45" s="2" customFormat="1" x14ac:dyDescent="0.25">
      <c r="B7" s="42" t="s">
        <v>130</v>
      </c>
      <c r="F7" s="6"/>
      <c r="G7" s="6">
        <v>1873</v>
      </c>
      <c r="H7" s="6">
        <v>2003</v>
      </c>
      <c r="I7" s="12">
        <v>2026</v>
      </c>
      <c r="J7" s="12"/>
      <c r="K7" s="40"/>
      <c r="L7" s="40"/>
      <c r="O7" s="2">
        <v>621</v>
      </c>
      <c r="P7" s="2">
        <v>670</v>
      </c>
      <c r="Q7" s="2">
        <v>749</v>
      </c>
      <c r="AA7" s="6">
        <v>2003</v>
      </c>
      <c r="AS7" s="11"/>
    </row>
    <row r="8" spans="2:45" s="2" customFormat="1" x14ac:dyDescent="0.25">
      <c r="B8" s="42" t="s">
        <v>8</v>
      </c>
      <c r="F8" s="6"/>
      <c r="G8" s="6">
        <v>662</v>
      </c>
      <c r="H8" s="6">
        <v>706</v>
      </c>
      <c r="I8" s="12">
        <v>735</v>
      </c>
      <c r="J8" s="12"/>
      <c r="K8" s="40"/>
      <c r="L8" s="40"/>
      <c r="O8" s="2">
        <v>165</v>
      </c>
      <c r="P8" s="2">
        <v>198</v>
      </c>
      <c r="Q8" s="2">
        <v>227</v>
      </c>
      <c r="AA8" s="6">
        <v>706</v>
      </c>
      <c r="AS8" s="11"/>
    </row>
    <row r="9" spans="2:45" s="2" customFormat="1" x14ac:dyDescent="0.25">
      <c r="B9" s="11" t="s">
        <v>47</v>
      </c>
      <c r="F9" s="6"/>
      <c r="G9" s="12">
        <f t="shared" ref="G9:H9" si="17">SUM(G3:G8)</f>
        <v>5720</v>
      </c>
      <c r="H9" s="12">
        <f t="shared" si="17"/>
        <v>6097</v>
      </c>
      <c r="I9" s="12">
        <f>SUM(I3:I8)</f>
        <v>6194</v>
      </c>
      <c r="J9" s="12"/>
      <c r="K9" s="6"/>
      <c r="L9" s="6"/>
      <c r="O9" s="2">
        <f>SUM(O3:O8)</f>
        <v>3040</v>
      </c>
      <c r="P9" s="2">
        <f t="shared" ref="P9:X9" si="18">SUM(P3:P8)</f>
        <v>3204</v>
      </c>
      <c r="Q9" s="2">
        <f t="shared" si="18"/>
        <v>3384</v>
      </c>
      <c r="R9" s="2">
        <f t="shared" si="18"/>
        <v>0</v>
      </c>
      <c r="S9" s="2">
        <f t="shared" si="18"/>
        <v>0</v>
      </c>
      <c r="T9" s="2">
        <f t="shared" si="18"/>
        <v>0</v>
      </c>
      <c r="U9" s="2">
        <f t="shared" si="18"/>
        <v>0</v>
      </c>
      <c r="V9" s="2">
        <f t="shared" si="18"/>
        <v>0</v>
      </c>
      <c r="W9" s="2">
        <f t="shared" si="18"/>
        <v>0</v>
      </c>
      <c r="X9" s="2">
        <f t="shared" si="18"/>
        <v>0</v>
      </c>
      <c r="Y9" s="2">
        <v>5556</v>
      </c>
      <c r="Z9" s="2">
        <v>5664</v>
      </c>
      <c r="AA9" s="12">
        <f t="shared" ref="AA9" si="19">SUM(AA3:AA8)</f>
        <v>6097</v>
      </c>
    </row>
    <row r="10" spans="2:45" s="2" customFormat="1" x14ac:dyDescent="0.25">
      <c r="B10" s="11"/>
      <c r="F10" s="6"/>
      <c r="G10" s="6"/>
      <c r="H10" s="6"/>
      <c r="I10" s="12"/>
      <c r="J10" s="12"/>
      <c r="K10" s="6"/>
      <c r="L10" s="6"/>
    </row>
    <row r="11" spans="2:45" s="2" customFormat="1" x14ac:dyDescent="0.25">
      <c r="B11" s="42" t="s">
        <v>127</v>
      </c>
      <c r="F11" s="6"/>
      <c r="G11" s="6"/>
      <c r="H11" s="6"/>
      <c r="I11" s="12"/>
      <c r="J11" s="12"/>
      <c r="K11" s="6"/>
      <c r="L11" s="6"/>
      <c r="S11" s="2">
        <v>4172</v>
      </c>
      <c r="T11" s="2">
        <v>3745</v>
      </c>
      <c r="U11" s="2">
        <v>4172</v>
      </c>
    </row>
    <row r="12" spans="2:45" s="2" customFormat="1" x14ac:dyDescent="0.25">
      <c r="B12" s="42" t="s">
        <v>126</v>
      </c>
      <c r="F12" s="6"/>
      <c r="G12" s="6"/>
      <c r="H12" s="6"/>
      <c r="I12" s="12"/>
      <c r="J12" s="12"/>
      <c r="K12" s="6"/>
      <c r="L12" s="6"/>
      <c r="S12" s="2">
        <v>8000</v>
      </c>
      <c r="T12" s="2">
        <v>6825</v>
      </c>
      <c r="U12" s="2">
        <v>8000</v>
      </c>
    </row>
    <row r="13" spans="2:45" s="2" customFormat="1" x14ac:dyDescent="0.25">
      <c r="B13" s="42" t="s">
        <v>128</v>
      </c>
      <c r="F13" s="6"/>
      <c r="G13" s="6"/>
      <c r="H13" s="6"/>
      <c r="I13" s="12"/>
      <c r="J13" s="12"/>
      <c r="K13" s="6"/>
      <c r="L13" s="6"/>
      <c r="S13" s="2">
        <v>10691</v>
      </c>
      <c r="T13" s="2">
        <v>10004</v>
      </c>
      <c r="U13" s="2">
        <v>10691</v>
      </c>
    </row>
    <row r="14" spans="2:45" s="2" customFormat="1" x14ac:dyDescent="0.25">
      <c r="B14" s="42" t="s">
        <v>129</v>
      </c>
      <c r="F14" s="6"/>
      <c r="G14" s="6"/>
      <c r="H14" s="6"/>
      <c r="I14" s="12"/>
      <c r="J14" s="12"/>
      <c r="K14" s="6"/>
      <c r="L14" s="6"/>
      <c r="S14" s="2">
        <v>2957</v>
      </c>
      <c r="T14" s="2">
        <v>2696</v>
      </c>
      <c r="U14" s="2">
        <v>2957</v>
      </c>
    </row>
    <row r="15" spans="2:45" s="2" customFormat="1" x14ac:dyDescent="0.25">
      <c r="B15" s="42" t="s">
        <v>130</v>
      </c>
      <c r="F15" s="6"/>
      <c r="G15" s="6"/>
      <c r="H15" s="6"/>
      <c r="I15" s="12"/>
      <c r="J15" s="12"/>
      <c r="K15" s="6"/>
      <c r="L15" s="6"/>
      <c r="S15" s="2">
        <v>11877</v>
      </c>
      <c r="T15" s="2">
        <v>9922</v>
      </c>
      <c r="U15" s="2">
        <v>11877</v>
      </c>
    </row>
    <row r="16" spans="2:45" s="2" customFormat="1" x14ac:dyDescent="0.25">
      <c r="B16" s="42" t="s">
        <v>8</v>
      </c>
      <c r="F16" s="6"/>
      <c r="G16" s="6"/>
      <c r="H16" s="6"/>
      <c r="I16" s="12"/>
      <c r="J16" s="12"/>
      <c r="K16" s="6"/>
      <c r="L16" s="6"/>
      <c r="S16" s="2">
        <v>4236</v>
      </c>
      <c r="T16" s="2">
        <v>4408</v>
      </c>
      <c r="U16" s="2">
        <v>4939</v>
      </c>
    </row>
    <row r="17" spans="2:46" x14ac:dyDescent="0.25">
      <c r="I17" s="8"/>
      <c r="J17" s="8"/>
    </row>
    <row r="18" spans="2:46" s="2" customFormat="1" x14ac:dyDescent="0.25">
      <c r="B18" s="2" t="s">
        <v>17</v>
      </c>
      <c r="C18" s="2">
        <v>2705</v>
      </c>
      <c r="D18" s="2">
        <f>Y18-C18</f>
        <v>3269</v>
      </c>
      <c r="E18" s="2">
        <v>3327</v>
      </c>
      <c r="F18" s="6">
        <f>Z18-E18</f>
        <v>3772</v>
      </c>
      <c r="G18" s="2">
        <v>3181</v>
      </c>
      <c r="H18" s="6">
        <f>AA18-G18</f>
        <v>3421</v>
      </c>
      <c r="I18" s="6">
        <v>2807</v>
      </c>
      <c r="J18" s="6">
        <f t="shared" ref="J18" si="20">H18*0.9</f>
        <v>3078.9</v>
      </c>
      <c r="K18" s="6">
        <f>I18*1.03</f>
        <v>2891.21</v>
      </c>
      <c r="L18" s="6">
        <f t="shared" ref="L18" si="21">J18*1.03</f>
        <v>3171.2670000000003</v>
      </c>
      <c r="O18" s="2">
        <v>3524</v>
      </c>
      <c r="P18" s="2">
        <v>4137</v>
      </c>
      <c r="Q18" s="2">
        <v>4187</v>
      </c>
      <c r="R18" s="2">
        <v>3973</v>
      </c>
      <c r="S18" s="2">
        <v>4603</v>
      </c>
      <c r="T18" s="2">
        <v>4835</v>
      </c>
      <c r="U18" s="2">
        <v>5084</v>
      </c>
      <c r="V18" s="2">
        <v>5143</v>
      </c>
      <c r="W18" s="2">
        <v>5576</v>
      </c>
      <c r="X18" s="2">
        <v>4755</v>
      </c>
      <c r="Y18" s="2">
        <v>5974</v>
      </c>
      <c r="Z18" s="2">
        <v>7099</v>
      </c>
      <c r="AA18" s="2">
        <v>6602</v>
      </c>
      <c r="AB18" s="2">
        <f>SUM(I18:J18)</f>
        <v>5885.9</v>
      </c>
      <c r="AC18" s="2">
        <f>SUM(K18:L18)</f>
        <v>6062.4770000000008</v>
      </c>
      <c r="AD18" s="2">
        <f t="shared" ref="AD18:AG18" si="22">AC18*1.05</f>
        <v>6365.6008500000007</v>
      </c>
      <c r="AE18" s="2">
        <f t="shared" si="22"/>
        <v>6683.8808925000012</v>
      </c>
      <c r="AF18" s="2">
        <f t="shared" si="22"/>
        <v>7018.0749371250013</v>
      </c>
      <c r="AG18" s="2">
        <f t="shared" si="22"/>
        <v>7368.9786839812514</v>
      </c>
      <c r="AH18" s="2">
        <f t="shared" ref="AH18" si="23">AG18*1.05</f>
        <v>7737.4276181803143</v>
      </c>
      <c r="AI18" s="2">
        <f>AH18*1.01</f>
        <v>7814.8018943621173</v>
      </c>
      <c r="AJ18" s="2">
        <f t="shared" ref="AJ18:AQ18" si="24">AI18*1.01</f>
        <v>7892.9499133057388</v>
      </c>
      <c r="AK18" s="2">
        <f t="shared" si="24"/>
        <v>7971.879412438796</v>
      </c>
      <c r="AL18" s="2">
        <f t="shared" si="24"/>
        <v>8051.5982065631842</v>
      </c>
      <c r="AM18" s="2">
        <f t="shared" si="24"/>
        <v>8132.114188628816</v>
      </c>
      <c r="AN18" s="2">
        <f t="shared" si="24"/>
        <v>8213.4353305151035</v>
      </c>
      <c r="AO18" s="2">
        <f t="shared" si="24"/>
        <v>8295.5696838202548</v>
      </c>
      <c r="AP18" s="2">
        <f t="shared" si="24"/>
        <v>8378.5253806584569</v>
      </c>
      <c r="AQ18" s="2">
        <f t="shared" si="24"/>
        <v>8462.3106344650423</v>
      </c>
      <c r="AS18" s="13"/>
    </row>
    <row r="19" spans="2:46" s="2" customFormat="1" x14ac:dyDescent="0.25">
      <c r="B19" s="2" t="s">
        <v>18</v>
      </c>
      <c r="C19" s="2">
        <v>13863</v>
      </c>
      <c r="D19" s="2">
        <f t="shared" ref="D19:D29" si="25">Y19-C19</f>
        <v>17033</v>
      </c>
      <c r="E19" s="2">
        <v>18136</v>
      </c>
      <c r="F19" s="6">
        <f t="shared" ref="F19:F29" si="26">Z19-E19</f>
        <v>20512</v>
      </c>
      <c r="G19" s="2">
        <v>21162</v>
      </c>
      <c r="H19" s="6">
        <f t="shared" ref="H19:H23" si="27">AA19-G19</f>
        <v>21007</v>
      </c>
      <c r="I19" s="6">
        <v>20771</v>
      </c>
      <c r="J19" s="6">
        <f>H19*1.02</f>
        <v>21427.14</v>
      </c>
      <c r="K19" s="6">
        <f t="shared" ref="K19:K22" si="28">I19*1.05</f>
        <v>21809.55</v>
      </c>
      <c r="L19" s="6">
        <f t="shared" ref="L19" si="29">J19*1.02</f>
        <v>21855.682799999999</v>
      </c>
      <c r="O19" s="2">
        <v>8712</v>
      </c>
      <c r="P19" s="2">
        <v>9926</v>
      </c>
      <c r="Q19" s="2">
        <v>9882</v>
      </c>
      <c r="R19" s="2">
        <v>10828</v>
      </c>
      <c r="S19" s="2">
        <v>12369</v>
      </c>
      <c r="T19" s="2">
        <v>12775</v>
      </c>
      <c r="U19" s="2">
        <v>15472</v>
      </c>
      <c r="V19" s="2">
        <v>18455</v>
      </c>
      <c r="W19" s="2">
        <v>22237</v>
      </c>
      <c r="X19" s="2">
        <v>21207</v>
      </c>
      <c r="Y19" s="2">
        <v>30896</v>
      </c>
      <c r="Z19" s="2">
        <v>38648</v>
      </c>
      <c r="AA19" s="2">
        <v>42169</v>
      </c>
      <c r="AB19" s="2">
        <f>SUM(I19:J19)</f>
        <v>42198.14</v>
      </c>
      <c r="AC19" s="2">
        <f t="shared" ref="AC19:AC29" si="30">SUM(K19:L19)</f>
        <v>43665.232799999998</v>
      </c>
      <c r="AD19" s="2">
        <f>AC19*1.1</f>
        <v>48031.756079999999</v>
      </c>
      <c r="AE19" s="2">
        <f t="shared" ref="AE19:AH19" si="31">AD19*1.1</f>
        <v>52834.931688000004</v>
      </c>
      <c r="AF19" s="2">
        <f t="shared" si="31"/>
        <v>58118.424856800011</v>
      </c>
      <c r="AG19" s="2">
        <f t="shared" si="31"/>
        <v>63930.267342480016</v>
      </c>
      <c r="AH19" s="2">
        <f t="shared" si="31"/>
        <v>70323.294076728023</v>
      </c>
      <c r="AI19" s="2">
        <f t="shared" ref="AI19:AI22" si="32">AH19*1.03</f>
        <v>72432.992899029865</v>
      </c>
      <c r="AJ19" s="2">
        <f t="shared" ref="AJ19:AJ22" si="33">AI19*1.03</f>
        <v>74605.98268600076</v>
      </c>
      <c r="AK19" s="2">
        <f t="shared" ref="AK19:AK22" si="34">AJ19*1.03</f>
        <v>76844.162166580791</v>
      </c>
      <c r="AL19" s="2">
        <f t="shared" ref="AL19:AL22" si="35">AK19*1.03</f>
        <v>79149.487031578217</v>
      </c>
      <c r="AM19" s="2">
        <f t="shared" ref="AM19:AM22" si="36">AL19*1.03</f>
        <v>81523.971642525561</v>
      </c>
      <c r="AN19" s="2">
        <f t="shared" ref="AN19:AN22" si="37">AM19*1.03</f>
        <v>83969.690791801331</v>
      </c>
      <c r="AO19" s="2">
        <f t="shared" ref="AO19:AO22" si="38">AN19*1.03</f>
        <v>86488.781515555369</v>
      </c>
      <c r="AP19" s="2">
        <f t="shared" ref="AP19:AP22" si="39">AO19*1.03</f>
        <v>89083.444961022033</v>
      </c>
      <c r="AQ19" s="2">
        <f t="shared" ref="AQ19:AQ22" si="40">AP19*1.03</f>
        <v>91755.948309852698</v>
      </c>
      <c r="AS19" s="13"/>
    </row>
    <row r="20" spans="2:46" s="2" customFormat="1" x14ac:dyDescent="0.25">
      <c r="B20" s="2" t="s">
        <v>19</v>
      </c>
      <c r="C20" s="2">
        <v>3025</v>
      </c>
      <c r="D20" s="2">
        <f t="shared" si="25"/>
        <v>3583</v>
      </c>
      <c r="E20" s="2">
        <v>3618</v>
      </c>
      <c r="F20" s="6">
        <f t="shared" si="26"/>
        <v>4104</v>
      </c>
      <c r="G20" s="2">
        <v>4028</v>
      </c>
      <c r="H20" s="6">
        <f t="shared" si="27"/>
        <v>4243</v>
      </c>
      <c r="I20" s="6">
        <v>4136</v>
      </c>
      <c r="J20" s="6">
        <f t="shared" ref="J20" si="41">H20*1.05</f>
        <v>4455.1500000000005</v>
      </c>
      <c r="K20" s="6">
        <f t="shared" si="28"/>
        <v>4342.8</v>
      </c>
      <c r="L20" s="6">
        <f t="shared" ref="L20:L22" si="42">J20*1.05</f>
        <v>4677.9075000000012</v>
      </c>
      <c r="O20" s="2">
        <v>3195</v>
      </c>
      <c r="P20" s="2">
        <v>3613</v>
      </c>
      <c r="Q20" s="2">
        <v>3717</v>
      </c>
      <c r="R20" s="2">
        <v>3916</v>
      </c>
      <c r="S20" s="2">
        <v>4671</v>
      </c>
      <c r="T20" s="2">
        <v>4953</v>
      </c>
      <c r="U20" s="2">
        <v>5560</v>
      </c>
      <c r="V20" s="2">
        <v>6092</v>
      </c>
      <c r="W20" s="2">
        <v>6835</v>
      </c>
      <c r="X20" s="2">
        <v>5248</v>
      </c>
      <c r="Y20" s="2">
        <v>6608</v>
      </c>
      <c r="Z20" s="2">
        <v>7722</v>
      </c>
      <c r="AA20" s="2">
        <v>8271</v>
      </c>
      <c r="AB20" s="2">
        <f t="shared" ref="AB20:AB29" si="43">SUM(I20:J20)</f>
        <v>8591.1500000000015</v>
      </c>
      <c r="AC20" s="2">
        <f t="shared" si="30"/>
        <v>9020.7075000000004</v>
      </c>
      <c r="AD20" s="2">
        <f>AC20*1.1</f>
        <v>9922.7782500000012</v>
      </c>
      <c r="AE20" s="2">
        <f t="shared" ref="AE20:AH20" si="44">AD20*1.1</f>
        <v>10915.056075000002</v>
      </c>
      <c r="AF20" s="2">
        <f t="shared" si="44"/>
        <v>12006.561682500003</v>
      </c>
      <c r="AG20" s="2">
        <f t="shared" si="44"/>
        <v>13207.217850750005</v>
      </c>
      <c r="AH20" s="2">
        <f t="shared" si="44"/>
        <v>14527.939635825007</v>
      </c>
      <c r="AI20" s="2">
        <f t="shared" si="32"/>
        <v>14963.777824899758</v>
      </c>
      <c r="AJ20" s="2">
        <f t="shared" si="33"/>
        <v>15412.691159646751</v>
      </c>
      <c r="AK20" s="2">
        <f t="shared" si="34"/>
        <v>15875.071894436154</v>
      </c>
      <c r="AL20" s="2">
        <f t="shared" si="35"/>
        <v>16351.324051269239</v>
      </c>
      <c r="AM20" s="2">
        <f t="shared" si="36"/>
        <v>16841.863772807315</v>
      </c>
      <c r="AN20" s="2">
        <f t="shared" si="37"/>
        <v>17347.119685991536</v>
      </c>
      <c r="AO20" s="2">
        <f t="shared" si="38"/>
        <v>17867.533276571281</v>
      </c>
      <c r="AP20" s="2">
        <f t="shared" si="39"/>
        <v>18403.559274868421</v>
      </c>
      <c r="AQ20" s="2">
        <f t="shared" si="40"/>
        <v>18955.666053114473</v>
      </c>
    </row>
    <row r="21" spans="2:46" s="2" customFormat="1" x14ac:dyDescent="0.25">
      <c r="B21" s="11" t="s">
        <v>58</v>
      </c>
      <c r="C21" s="2">
        <v>4023</v>
      </c>
      <c r="D21" s="2">
        <f t="shared" si="25"/>
        <v>4941</v>
      </c>
      <c r="E21" s="2">
        <v>4909</v>
      </c>
      <c r="F21" s="6">
        <f t="shared" si="26"/>
        <v>5672</v>
      </c>
      <c r="G21" s="2">
        <v>5427</v>
      </c>
      <c r="H21" s="6">
        <f t="shared" si="27"/>
        <v>5475</v>
      </c>
      <c r="I21" s="6">
        <v>5150</v>
      </c>
      <c r="J21" s="6">
        <f>H21*0.95</f>
        <v>5201.25</v>
      </c>
      <c r="K21" s="6">
        <f t="shared" si="28"/>
        <v>5407.5</v>
      </c>
      <c r="L21" s="6">
        <f t="shared" si="42"/>
        <v>5461.3125</v>
      </c>
      <c r="O21" s="2">
        <v>1949</v>
      </c>
      <c r="P21" s="2">
        <v>2836</v>
      </c>
      <c r="Q21" s="2">
        <v>2784</v>
      </c>
      <c r="R21" s="2">
        <v>2782</v>
      </c>
      <c r="S21" s="2">
        <v>3308</v>
      </c>
      <c r="T21" s="2">
        <v>3468</v>
      </c>
      <c r="U21" s="2">
        <v>3805</v>
      </c>
      <c r="V21" s="2">
        <v>4123</v>
      </c>
      <c r="W21" s="2">
        <v>4405</v>
      </c>
      <c r="X21" s="2">
        <v>3356</v>
      </c>
      <c r="Y21" s="2">
        <v>8964</v>
      </c>
      <c r="Z21" s="2">
        <v>10581</v>
      </c>
      <c r="AA21" s="2">
        <v>10902</v>
      </c>
      <c r="AB21" s="2">
        <f t="shared" si="43"/>
        <v>10351.25</v>
      </c>
      <c r="AC21" s="2">
        <f t="shared" si="30"/>
        <v>10868.8125</v>
      </c>
      <c r="AD21" s="2">
        <f t="shared" ref="AD21:AH22" si="45">AC21*1.1</f>
        <v>11955.69375</v>
      </c>
      <c r="AE21" s="2">
        <f t="shared" si="45"/>
        <v>13151.263125000001</v>
      </c>
      <c r="AF21" s="2">
        <f t="shared" si="45"/>
        <v>14466.389437500002</v>
      </c>
      <c r="AG21" s="2">
        <f t="shared" si="45"/>
        <v>15913.028381250004</v>
      </c>
      <c r="AH21" s="2">
        <f t="shared" si="45"/>
        <v>17504.331219375006</v>
      </c>
      <c r="AI21" s="2">
        <f t="shared" si="32"/>
        <v>18029.461155956258</v>
      </c>
      <c r="AJ21" s="2">
        <f t="shared" si="33"/>
        <v>18570.344990634945</v>
      </c>
      <c r="AK21" s="2">
        <f t="shared" si="34"/>
        <v>19127.455340353994</v>
      </c>
      <c r="AL21" s="2">
        <f t="shared" si="35"/>
        <v>19701.279000564613</v>
      </c>
      <c r="AM21" s="2">
        <f t="shared" si="36"/>
        <v>20292.317370581553</v>
      </c>
      <c r="AN21" s="2">
        <f t="shared" si="37"/>
        <v>20901.086891699</v>
      </c>
      <c r="AO21" s="2">
        <f t="shared" si="38"/>
        <v>21528.119498449971</v>
      </c>
      <c r="AP21" s="2">
        <f t="shared" si="39"/>
        <v>22173.963083403469</v>
      </c>
      <c r="AQ21" s="2">
        <f t="shared" si="40"/>
        <v>22839.181975905572</v>
      </c>
    </row>
    <row r="22" spans="2:46" s="2" customFormat="1" x14ac:dyDescent="0.25">
      <c r="B22" s="2" t="s">
        <v>0</v>
      </c>
      <c r="C22" s="2">
        <v>5085</v>
      </c>
      <c r="D22" s="2">
        <f t="shared" si="25"/>
        <v>6669</v>
      </c>
      <c r="E22" s="2">
        <v>6630</v>
      </c>
      <c r="F22" s="6">
        <f t="shared" si="26"/>
        <v>8222</v>
      </c>
      <c r="G22" s="2">
        <v>8355</v>
      </c>
      <c r="H22" s="6">
        <f t="shared" si="27"/>
        <v>9530</v>
      </c>
      <c r="I22" s="6">
        <v>8632</v>
      </c>
      <c r="J22" s="6">
        <f>H22*1.05</f>
        <v>10006.5</v>
      </c>
      <c r="K22" s="6">
        <f t="shared" si="28"/>
        <v>9063.6</v>
      </c>
      <c r="L22" s="6">
        <f t="shared" si="42"/>
        <v>10506.825000000001</v>
      </c>
      <c r="O22" s="2">
        <v>6436</v>
      </c>
      <c r="P22" s="2">
        <v>7879</v>
      </c>
      <c r="Q22" s="2">
        <v>8938</v>
      </c>
      <c r="R22" s="2">
        <v>9534</v>
      </c>
      <c r="S22" s="2">
        <v>11193</v>
      </c>
      <c r="T22" s="2">
        <v>11973</v>
      </c>
      <c r="U22" s="2">
        <v>13311</v>
      </c>
      <c r="V22" s="2">
        <v>13646</v>
      </c>
      <c r="W22" s="2">
        <v>14791</v>
      </c>
      <c r="X22" s="2">
        <v>10155</v>
      </c>
      <c r="Y22" s="2">
        <v>11754</v>
      </c>
      <c r="Z22" s="2">
        <v>14852</v>
      </c>
      <c r="AA22" s="2">
        <v>17885</v>
      </c>
      <c r="AB22" s="2">
        <f t="shared" si="43"/>
        <v>18638.5</v>
      </c>
      <c r="AC22" s="2">
        <f t="shared" si="30"/>
        <v>19570.425000000003</v>
      </c>
      <c r="AD22" s="2">
        <f t="shared" si="45"/>
        <v>21527.467500000006</v>
      </c>
      <c r="AE22" s="2">
        <f t="shared" si="45"/>
        <v>23680.214250000008</v>
      </c>
      <c r="AF22" s="2">
        <f t="shared" si="45"/>
        <v>26048.235675000011</v>
      </c>
      <c r="AG22" s="2">
        <f t="shared" si="45"/>
        <v>28653.059242500014</v>
      </c>
      <c r="AH22" s="2">
        <f t="shared" si="45"/>
        <v>31518.365166750016</v>
      </c>
      <c r="AI22" s="2">
        <f t="shared" si="32"/>
        <v>32463.916121752518</v>
      </c>
      <c r="AJ22" s="2">
        <f t="shared" si="33"/>
        <v>33437.833605405096</v>
      </c>
      <c r="AK22" s="2">
        <f t="shared" si="34"/>
        <v>34440.968613567253</v>
      </c>
      <c r="AL22" s="2">
        <f t="shared" si="35"/>
        <v>35474.197671974274</v>
      </c>
      <c r="AM22" s="2">
        <f t="shared" si="36"/>
        <v>36538.423602133502</v>
      </c>
      <c r="AN22" s="2">
        <f t="shared" si="37"/>
        <v>37634.57631019751</v>
      </c>
      <c r="AO22" s="2">
        <f t="shared" si="38"/>
        <v>38763.613599503435</v>
      </c>
      <c r="AP22" s="2">
        <f t="shared" si="39"/>
        <v>39926.522007488536</v>
      </c>
      <c r="AQ22" s="2">
        <f t="shared" si="40"/>
        <v>41124.317667713192</v>
      </c>
      <c r="AT22" s="42"/>
    </row>
    <row r="23" spans="2:46" s="2" customFormat="1" x14ac:dyDescent="0.25">
      <c r="B23" s="2" t="s">
        <v>8</v>
      </c>
      <c r="C23" s="2">
        <v>-36</v>
      </c>
      <c r="D23" s="2">
        <f t="shared" si="25"/>
        <v>55</v>
      </c>
      <c r="E23" s="2">
        <f>723-614</f>
        <v>109</v>
      </c>
      <c r="F23" s="6">
        <f t="shared" si="26"/>
        <v>173</v>
      </c>
      <c r="G23" s="2">
        <f>832-745</f>
        <v>87</v>
      </c>
      <c r="H23" s="6">
        <f t="shared" si="27"/>
        <v>237</v>
      </c>
      <c r="I23" s="6">
        <v>181</v>
      </c>
      <c r="J23" s="6">
        <f t="shared" ref="J23" si="46">AVERAGE(H23:I23)</f>
        <v>209</v>
      </c>
      <c r="K23" s="6">
        <f t="shared" ref="K23" si="47">AVERAGE(I23:J23)</f>
        <v>195</v>
      </c>
      <c r="L23" s="6">
        <f t="shared" ref="L23" si="48">AVERAGE(J23:K23)</f>
        <v>202</v>
      </c>
      <c r="O23" s="2">
        <v>-157</v>
      </c>
      <c r="P23" s="2">
        <v>-288</v>
      </c>
      <c r="Q23" s="2">
        <v>-359</v>
      </c>
      <c r="R23" s="2">
        <v>312</v>
      </c>
      <c r="S23" s="2">
        <v>448</v>
      </c>
      <c r="T23" s="2">
        <v>638</v>
      </c>
      <c r="U23" s="2">
        <v>651</v>
      </c>
      <c r="V23" s="2">
        <v>-633</v>
      </c>
      <c r="W23" s="2">
        <v>-174</v>
      </c>
      <c r="X23" s="2">
        <v>-70</v>
      </c>
      <c r="Y23" s="2">
        <f>1169-1150</f>
        <v>19</v>
      </c>
      <c r="Z23" s="2">
        <v>282</v>
      </c>
      <c r="AA23" s="2">
        <v>324</v>
      </c>
      <c r="AB23" s="2">
        <f t="shared" si="43"/>
        <v>390</v>
      </c>
      <c r="AC23" s="2">
        <f t="shared" si="30"/>
        <v>397</v>
      </c>
      <c r="AD23" s="2">
        <f t="shared" ref="AD23:AQ23" si="49">AC23*1.03</f>
        <v>408.91</v>
      </c>
      <c r="AE23" s="2">
        <f t="shared" si="49"/>
        <v>421.17730000000006</v>
      </c>
      <c r="AF23" s="2">
        <f t="shared" si="49"/>
        <v>433.8126190000001</v>
      </c>
      <c r="AG23" s="2">
        <f t="shared" si="49"/>
        <v>446.82699757000012</v>
      </c>
      <c r="AH23" s="2">
        <f t="shared" ref="AH23" si="50">AG23*1.03</f>
        <v>460.23180749710014</v>
      </c>
      <c r="AI23" s="2">
        <f t="shared" si="49"/>
        <v>474.03876172201313</v>
      </c>
      <c r="AJ23" s="2">
        <f t="shared" si="49"/>
        <v>488.25992457367352</v>
      </c>
      <c r="AK23" s="2">
        <f t="shared" si="49"/>
        <v>502.90772231088374</v>
      </c>
      <c r="AL23" s="2">
        <f t="shared" si="49"/>
        <v>517.99495398021031</v>
      </c>
      <c r="AM23" s="2">
        <f t="shared" si="49"/>
        <v>533.53480259961668</v>
      </c>
      <c r="AN23" s="2">
        <f t="shared" si="49"/>
        <v>549.54084667760515</v>
      </c>
      <c r="AO23" s="2">
        <f t="shared" si="49"/>
        <v>566.02707207793333</v>
      </c>
      <c r="AP23" s="2">
        <f t="shared" si="49"/>
        <v>583.00788424027132</v>
      </c>
      <c r="AQ23" s="2">
        <f t="shared" si="49"/>
        <v>600.49812076747946</v>
      </c>
    </row>
    <row r="24" spans="2:46" s="2" customFormat="1" x14ac:dyDescent="0.25">
      <c r="F24" s="6"/>
      <c r="H24" s="6"/>
      <c r="I24" s="6"/>
      <c r="J24" s="6"/>
      <c r="K24" s="6"/>
      <c r="L24" s="6"/>
    </row>
    <row r="25" spans="2:46" s="3" customFormat="1" x14ac:dyDescent="0.25">
      <c r="B25" s="3" t="s">
        <v>1</v>
      </c>
      <c r="C25" s="3">
        <f t="shared" ref="C25:D25" si="51">SUM(C18:C23)</f>
        <v>28665</v>
      </c>
      <c r="D25" s="3">
        <f t="shared" si="51"/>
        <v>35550</v>
      </c>
      <c r="E25" s="3">
        <f>SUM(E18:E23)</f>
        <v>36729</v>
      </c>
      <c r="F25" s="3">
        <f>SUM(F18:F23)</f>
        <v>42455</v>
      </c>
      <c r="G25" s="3">
        <f>SUM(G18:G23)</f>
        <v>42240</v>
      </c>
      <c r="H25" s="3">
        <f t="shared" ref="H25:L25" si="52">SUM(H18:H23)</f>
        <v>43913</v>
      </c>
      <c r="I25" s="3">
        <f t="shared" si="52"/>
        <v>41677</v>
      </c>
      <c r="J25" s="3">
        <f t="shared" si="52"/>
        <v>44377.94</v>
      </c>
      <c r="K25" s="3">
        <f t="shared" si="52"/>
        <v>43709.659999999996</v>
      </c>
      <c r="L25" s="3">
        <f t="shared" si="52"/>
        <v>45874.9948</v>
      </c>
      <c r="O25" s="3">
        <f t="shared" ref="O25:P25" si="53">SUM(O18:O23)</f>
        <v>23659</v>
      </c>
      <c r="P25" s="3">
        <f t="shared" si="53"/>
        <v>28103</v>
      </c>
      <c r="Q25" s="3">
        <f>SUM(Q18:Q23)</f>
        <v>29149</v>
      </c>
      <c r="R25" s="3">
        <f>SUM(R18:R23)-707</f>
        <v>30638</v>
      </c>
      <c r="S25" s="3">
        <f>SUM(S18:S23)-928</f>
        <v>35664</v>
      </c>
      <c r="T25" s="3">
        <f>SUM(T18:T23)-1042</f>
        <v>37600</v>
      </c>
      <c r="U25" s="3">
        <f>SUM(U18:U23)-1247</f>
        <v>42636</v>
      </c>
      <c r="V25" s="3">
        <f t="shared" ref="V25:X25" si="54">SUM(V18:V23)</f>
        <v>46826</v>
      </c>
      <c r="W25" s="3">
        <f t="shared" si="54"/>
        <v>53670</v>
      </c>
      <c r="X25" s="3">
        <f t="shared" si="54"/>
        <v>44651</v>
      </c>
      <c r="Y25" s="3">
        <f>SUM(Y18:Y23)</f>
        <v>64215</v>
      </c>
      <c r="Z25" s="3">
        <f>SUM(Z18:Z23)</f>
        <v>79184</v>
      </c>
      <c r="AA25" s="3">
        <f>SUM(AA18:AA23)</f>
        <v>86153</v>
      </c>
      <c r="AB25" s="3">
        <f t="shared" ref="AB25" si="55">SUM(AB18:AB23)</f>
        <v>86054.94</v>
      </c>
      <c r="AC25" s="3">
        <f t="shared" ref="AC25" si="56">SUM(AC18:AC23)</f>
        <v>89584.654800000004</v>
      </c>
      <c r="AD25" s="3">
        <f t="shared" ref="AD25" si="57">SUM(AD18:AD23)</f>
        <v>98212.20643000002</v>
      </c>
      <c r="AE25" s="3">
        <f t="shared" ref="AE25" si="58">SUM(AE18:AE23)</f>
        <v>107686.5233305</v>
      </c>
      <c r="AF25" s="3">
        <f t="shared" ref="AF25" si="59">SUM(AF18:AF23)</f>
        <v>118091.49920792502</v>
      </c>
      <c r="AG25" s="3">
        <f t="shared" ref="AG25" si="60">SUM(AG18:AG23)</f>
        <v>129519.3784985313</v>
      </c>
      <c r="AH25" s="3">
        <f t="shared" ref="AH25" si="61">SUM(AH18:AH23)</f>
        <v>142071.58952435546</v>
      </c>
      <c r="AI25" s="3">
        <f t="shared" ref="AI25" si="62">SUM(AI18:AI23)</f>
        <v>146178.98865772254</v>
      </c>
      <c r="AJ25" s="3">
        <f t="shared" ref="AJ25" si="63">SUM(AJ18:AJ23)</f>
        <v>150408.06227956698</v>
      </c>
      <c r="AK25" s="3">
        <f t="shared" ref="AK25" si="64">SUM(AK18:AK23)</f>
        <v>154762.44514968788</v>
      </c>
      <c r="AL25" s="3">
        <f t="shared" ref="AL25" si="65">SUM(AL18:AL23)</f>
        <v>159245.88091592974</v>
      </c>
      <c r="AM25" s="3">
        <f t="shared" ref="AM25" si="66">SUM(AM18:AM23)</f>
        <v>163862.22537927635</v>
      </c>
      <c r="AN25" s="3">
        <f t="shared" ref="AN25" si="67">SUM(AN18:AN23)</f>
        <v>168615.4498568821</v>
      </c>
      <c r="AO25" s="3">
        <f t="shared" ref="AO25" si="68">SUM(AO18:AO23)</f>
        <v>173509.64464597826</v>
      </c>
      <c r="AP25" s="3">
        <f t="shared" ref="AP25" si="69">SUM(AP18:AP23)</f>
        <v>178549.02259168119</v>
      </c>
      <c r="AQ25" s="3">
        <f t="shared" ref="AQ25" si="70">SUM(AQ18:AQ23)</f>
        <v>183737.92276181845</v>
      </c>
      <c r="AS25" s="42"/>
    </row>
    <row r="26" spans="2:46" s="2" customFormat="1" x14ac:dyDescent="0.25">
      <c r="B26" s="2" t="s">
        <v>3</v>
      </c>
      <c r="C26" s="2">
        <v>9109</v>
      </c>
      <c r="D26" s="2">
        <f t="shared" si="25"/>
        <v>11226</v>
      </c>
      <c r="E26" s="2">
        <v>11418</v>
      </c>
      <c r="F26" s="6">
        <f t="shared" si="26"/>
        <v>13570</v>
      </c>
      <c r="G26" s="2">
        <v>12923</v>
      </c>
      <c r="H26" s="6">
        <f>AA26-G26</f>
        <v>13953</v>
      </c>
      <c r="I26" s="6">
        <v>12984</v>
      </c>
      <c r="J26" s="6">
        <f t="shared" ref="J26:L26" si="71">J25*0.31</f>
        <v>13757.161400000001</v>
      </c>
      <c r="K26" s="6">
        <f t="shared" si="71"/>
        <v>13549.994599999998</v>
      </c>
      <c r="L26" s="6">
        <f t="shared" si="71"/>
        <v>14221.248388</v>
      </c>
      <c r="O26" s="2">
        <v>8092</v>
      </c>
      <c r="P26" s="2">
        <v>9917</v>
      </c>
      <c r="Q26" s="2">
        <v>10055</v>
      </c>
      <c r="V26" s="2">
        <v>15625</v>
      </c>
      <c r="W26" s="2">
        <v>18123</v>
      </c>
      <c r="X26" s="2">
        <v>15871</v>
      </c>
      <c r="Y26" s="2">
        <v>20335</v>
      </c>
      <c r="Z26" s="2">
        <v>24988</v>
      </c>
      <c r="AA26" s="2">
        <v>26876</v>
      </c>
      <c r="AB26" s="2">
        <f t="shared" si="43"/>
        <v>26741.161400000001</v>
      </c>
      <c r="AC26" s="2">
        <f t="shared" si="30"/>
        <v>27771.242987999998</v>
      </c>
      <c r="AD26" s="2">
        <f t="shared" ref="AD26:AQ26" si="72">AD25*0.31</f>
        <v>30445.783993300007</v>
      </c>
      <c r="AE26" s="2">
        <f t="shared" si="72"/>
        <v>33382.822232455001</v>
      </c>
      <c r="AF26" s="2">
        <f t="shared" si="72"/>
        <v>36608.364754456758</v>
      </c>
      <c r="AG26" s="2">
        <f t="shared" si="72"/>
        <v>40151.007334544702</v>
      </c>
      <c r="AH26" s="2">
        <f t="shared" si="72"/>
        <v>44042.192752550189</v>
      </c>
      <c r="AI26" s="2">
        <f t="shared" si="72"/>
        <v>45315.48648389399</v>
      </c>
      <c r="AJ26" s="2">
        <f t="shared" si="72"/>
        <v>46626.499306665763</v>
      </c>
      <c r="AK26" s="2">
        <f t="shared" si="72"/>
        <v>47976.35799640324</v>
      </c>
      <c r="AL26" s="2">
        <f t="shared" si="72"/>
        <v>49366.223083938217</v>
      </c>
      <c r="AM26" s="2">
        <f t="shared" si="72"/>
        <v>50797.289867575666</v>
      </c>
      <c r="AN26" s="2">
        <f t="shared" si="72"/>
        <v>52270.78945563345</v>
      </c>
      <c r="AO26" s="2">
        <f t="shared" si="72"/>
        <v>53787.989840253264</v>
      </c>
      <c r="AP26" s="2">
        <f t="shared" si="72"/>
        <v>55350.19700342117</v>
      </c>
      <c r="AQ26" s="2">
        <f t="shared" si="72"/>
        <v>56958.756056163722</v>
      </c>
    </row>
    <row r="27" spans="2:46" x14ac:dyDescent="0.25">
      <c r="B27" s="1" t="s">
        <v>13</v>
      </c>
      <c r="C27" s="2">
        <f t="shared" ref="C27:D27" si="73">C25-C26</f>
        <v>19556</v>
      </c>
      <c r="D27" s="2">
        <f t="shared" si="73"/>
        <v>24324</v>
      </c>
      <c r="E27" s="2">
        <f>E25-E26</f>
        <v>25311</v>
      </c>
      <c r="F27" s="2">
        <f t="shared" ref="F27" si="74">F25-F26</f>
        <v>28885</v>
      </c>
      <c r="G27" s="2">
        <f>G25-G26</f>
        <v>29317</v>
      </c>
      <c r="H27" s="2">
        <f t="shared" ref="H27:L27" si="75">H25-H26</f>
        <v>29960</v>
      </c>
      <c r="I27" s="2">
        <f t="shared" si="75"/>
        <v>28693</v>
      </c>
      <c r="J27" s="2">
        <f t="shared" si="75"/>
        <v>30620.778600000001</v>
      </c>
      <c r="K27" s="2">
        <f t="shared" si="75"/>
        <v>30159.665399999998</v>
      </c>
      <c r="L27" s="2">
        <f t="shared" si="75"/>
        <v>31653.746412</v>
      </c>
      <c r="O27" s="2">
        <f t="shared" ref="O27:X27" si="76">O25-O26</f>
        <v>15567</v>
      </c>
      <c r="P27" s="2">
        <f t="shared" si="76"/>
        <v>18186</v>
      </c>
      <c r="Q27" s="2">
        <f t="shared" si="76"/>
        <v>19094</v>
      </c>
      <c r="R27" s="2">
        <f t="shared" si="76"/>
        <v>30638</v>
      </c>
      <c r="S27" s="2">
        <f t="shared" si="76"/>
        <v>35664</v>
      </c>
      <c r="T27" s="2">
        <f t="shared" si="76"/>
        <v>37600</v>
      </c>
      <c r="U27" s="2">
        <f t="shared" si="76"/>
        <v>42636</v>
      </c>
      <c r="V27" s="2">
        <f t="shared" si="76"/>
        <v>31201</v>
      </c>
      <c r="W27" s="2">
        <f t="shared" si="76"/>
        <v>35547</v>
      </c>
      <c r="X27" s="2">
        <f t="shared" si="76"/>
        <v>28780</v>
      </c>
      <c r="Y27" s="2">
        <f t="shared" ref="Y27:Z27" si="77">Y25-Y26</f>
        <v>43880</v>
      </c>
      <c r="Z27" s="2">
        <f t="shared" si="77"/>
        <v>54196</v>
      </c>
      <c r="AA27" s="2">
        <f>AA25-AA26</f>
        <v>59277</v>
      </c>
      <c r="AB27" s="2">
        <f t="shared" ref="AB27:AQ27" si="78">AB25-AB26</f>
        <v>59313.778600000005</v>
      </c>
      <c r="AC27" s="2">
        <f t="shared" si="78"/>
        <v>61813.411812000006</v>
      </c>
      <c r="AD27" s="2">
        <f t="shared" si="78"/>
        <v>67766.422436700013</v>
      </c>
      <c r="AE27" s="2">
        <f t="shared" si="78"/>
        <v>74303.701098045</v>
      </c>
      <c r="AF27" s="2">
        <f t="shared" si="78"/>
        <v>81483.134453468258</v>
      </c>
      <c r="AG27" s="2">
        <f t="shared" si="78"/>
        <v>89368.371163986594</v>
      </c>
      <c r="AH27" s="2">
        <f t="shared" si="78"/>
        <v>98029.396771805274</v>
      </c>
      <c r="AI27" s="2">
        <f t="shared" si="78"/>
        <v>100863.50217382854</v>
      </c>
      <c r="AJ27" s="2">
        <f t="shared" si="78"/>
        <v>103781.56297290121</v>
      </c>
      <c r="AK27" s="2">
        <f t="shared" si="78"/>
        <v>106786.08715328464</v>
      </c>
      <c r="AL27" s="2">
        <f t="shared" si="78"/>
        <v>109879.65783199153</v>
      </c>
      <c r="AM27" s="2">
        <f t="shared" si="78"/>
        <v>113064.93551170069</v>
      </c>
      <c r="AN27" s="2">
        <f t="shared" si="78"/>
        <v>116344.66040124865</v>
      </c>
      <c r="AO27" s="2">
        <f t="shared" si="78"/>
        <v>119721.654805725</v>
      </c>
      <c r="AP27" s="2">
        <f t="shared" si="78"/>
        <v>123198.82558826002</v>
      </c>
      <c r="AQ27" s="2">
        <f t="shared" si="78"/>
        <v>126779.16670565473</v>
      </c>
    </row>
    <row r="28" spans="2:46" s="2" customFormat="1" x14ac:dyDescent="0.25">
      <c r="B28" s="2" t="s">
        <v>4</v>
      </c>
      <c r="C28" s="2">
        <v>9804</v>
      </c>
      <c r="D28" s="2">
        <f t="shared" si="25"/>
        <v>12504</v>
      </c>
      <c r="E28" s="2">
        <v>12701</v>
      </c>
      <c r="F28" s="6">
        <f t="shared" si="26"/>
        <v>15450</v>
      </c>
      <c r="G28" s="2">
        <v>14915</v>
      </c>
      <c r="H28" s="6">
        <f>AA28-G28</f>
        <v>15853</v>
      </c>
      <c r="I28" s="6">
        <v>14999</v>
      </c>
      <c r="J28" s="6">
        <f>H28*1.01</f>
        <v>16011.53</v>
      </c>
      <c r="K28" s="6">
        <f t="shared" ref="K28:L28" si="79">I28*1.01</f>
        <v>15148.99</v>
      </c>
      <c r="L28" s="6">
        <f t="shared" si="79"/>
        <v>16171.6453</v>
      </c>
      <c r="O28" s="2">
        <v>8360</v>
      </c>
      <c r="P28" s="2">
        <v>10101</v>
      </c>
      <c r="Q28" s="2">
        <v>10849</v>
      </c>
      <c r="V28" s="2">
        <v>17755</v>
      </c>
      <c r="W28" s="2">
        <v>20207</v>
      </c>
      <c r="X28" s="2">
        <v>16792</v>
      </c>
      <c r="Y28" s="2">
        <v>22308</v>
      </c>
      <c r="Z28" s="2">
        <v>28151</v>
      </c>
      <c r="AA28" s="2">
        <v>30768</v>
      </c>
      <c r="AB28" s="2">
        <f t="shared" si="43"/>
        <v>31010.53</v>
      </c>
      <c r="AC28" s="2">
        <f t="shared" si="30"/>
        <v>31320.635300000002</v>
      </c>
      <c r="AD28" s="2">
        <f>AC28*1.08</f>
        <v>33826.286124000006</v>
      </c>
      <c r="AE28" s="2">
        <f t="shared" ref="AE28:AH28" si="80">AD28*1.08</f>
        <v>36532.389013920008</v>
      </c>
      <c r="AF28" s="2">
        <f t="shared" si="80"/>
        <v>39454.980135033613</v>
      </c>
      <c r="AG28" s="2">
        <f t="shared" si="80"/>
        <v>42611.378545836305</v>
      </c>
      <c r="AH28" s="2">
        <f t="shared" si="80"/>
        <v>46020.28882950321</v>
      </c>
      <c r="AI28" s="2">
        <f>AH28*1.02</f>
        <v>46940.694606093275</v>
      </c>
      <c r="AJ28" s="2">
        <f t="shared" ref="AJ28:AQ29" si="81">AI28*1.02</f>
        <v>47879.508498215138</v>
      </c>
      <c r="AK28" s="2">
        <f t="shared" si="81"/>
        <v>48837.098668179438</v>
      </c>
      <c r="AL28" s="2">
        <f t="shared" si="81"/>
        <v>49813.840641543029</v>
      </c>
      <c r="AM28" s="2">
        <f t="shared" si="81"/>
        <v>50810.117454373889</v>
      </c>
      <c r="AN28" s="2">
        <f t="shared" si="81"/>
        <v>51826.319803461367</v>
      </c>
      <c r="AO28" s="2">
        <f t="shared" si="81"/>
        <v>52862.846199530599</v>
      </c>
      <c r="AP28" s="2">
        <f t="shared" si="81"/>
        <v>53920.103123521214</v>
      </c>
      <c r="AQ28" s="2">
        <f t="shared" si="81"/>
        <v>54998.505185991642</v>
      </c>
    </row>
    <row r="29" spans="2:46" s="2" customFormat="1" x14ac:dyDescent="0.25">
      <c r="B29" s="2" t="s">
        <v>5</v>
      </c>
      <c r="C29" s="2">
        <v>2099</v>
      </c>
      <c r="D29" s="2">
        <f t="shared" si="25"/>
        <v>2315</v>
      </c>
      <c r="E29" s="2">
        <v>2378</v>
      </c>
      <c r="F29" s="6">
        <f t="shared" si="26"/>
        <v>2649</v>
      </c>
      <c r="G29" s="2">
        <v>2823</v>
      </c>
      <c r="H29" s="6">
        <f>AA29-G29</f>
        <v>2891</v>
      </c>
      <c r="I29" s="6">
        <v>3035</v>
      </c>
      <c r="J29" s="6">
        <f>H29*1.1</f>
        <v>3180.1000000000004</v>
      </c>
      <c r="K29" s="6">
        <f>I29*1.05</f>
        <v>3186.75</v>
      </c>
      <c r="L29" s="6">
        <f t="shared" ref="L29" si="82">J29*1.05</f>
        <v>3339.1050000000005</v>
      </c>
      <c r="O29" s="2">
        <v>1944</v>
      </c>
      <c r="P29" s="2">
        <v>2164</v>
      </c>
      <c r="Q29" s="2">
        <v>2224</v>
      </c>
      <c r="V29" s="2">
        <v>3466</v>
      </c>
      <c r="W29" s="2">
        <v>3864</v>
      </c>
      <c r="X29" s="2">
        <v>3641</v>
      </c>
      <c r="Y29" s="2">
        <v>4414</v>
      </c>
      <c r="Z29" s="2">
        <v>5027</v>
      </c>
      <c r="AA29" s="2">
        <v>5714</v>
      </c>
      <c r="AB29" s="2">
        <f t="shared" si="43"/>
        <v>6215.1</v>
      </c>
      <c r="AC29" s="2">
        <f t="shared" si="30"/>
        <v>6525.8550000000005</v>
      </c>
      <c r="AD29" s="2">
        <f t="shared" ref="AD29:AH29" si="83">AC29*1.08</f>
        <v>7047.9234000000006</v>
      </c>
      <c r="AE29" s="2">
        <f t="shared" si="83"/>
        <v>7611.7572720000007</v>
      </c>
      <c r="AF29" s="2">
        <f t="shared" si="83"/>
        <v>8220.6978537600007</v>
      </c>
      <c r="AG29" s="2">
        <f t="shared" si="83"/>
        <v>8878.3536820608006</v>
      </c>
      <c r="AH29" s="2">
        <f t="shared" si="83"/>
        <v>9588.6219766256654</v>
      </c>
      <c r="AI29" s="2">
        <f>AH29*1.02</f>
        <v>9780.3944161581785</v>
      </c>
      <c r="AJ29" s="2">
        <f t="shared" si="81"/>
        <v>9976.0023044813424</v>
      </c>
      <c r="AK29" s="2">
        <f t="shared" si="81"/>
        <v>10175.522350570969</v>
      </c>
      <c r="AL29" s="2">
        <f t="shared" si="81"/>
        <v>10379.032797582389</v>
      </c>
      <c r="AM29" s="2">
        <f t="shared" si="81"/>
        <v>10586.613453534037</v>
      </c>
      <c r="AN29" s="2">
        <f t="shared" si="81"/>
        <v>10798.345722604718</v>
      </c>
      <c r="AO29" s="2">
        <f t="shared" si="81"/>
        <v>11014.312637056812</v>
      </c>
      <c r="AP29" s="2">
        <f t="shared" si="81"/>
        <v>11234.598889797948</v>
      </c>
      <c r="AQ29" s="2">
        <f t="shared" si="81"/>
        <v>11459.290867593907</v>
      </c>
    </row>
    <row r="30" spans="2:46" s="2" customFormat="1" x14ac:dyDescent="0.25">
      <c r="B30" s="2" t="s">
        <v>6</v>
      </c>
      <c r="C30" s="2">
        <f t="shared" ref="C30:D30" si="84">SUM(C28:C29)</f>
        <v>11903</v>
      </c>
      <c r="D30" s="2">
        <f t="shared" si="84"/>
        <v>14819</v>
      </c>
      <c r="E30" s="2">
        <f>SUM(E28:E29)</f>
        <v>15079</v>
      </c>
      <c r="F30" s="2">
        <f t="shared" ref="F30" si="85">SUM(F28:F29)</f>
        <v>18099</v>
      </c>
      <c r="G30" s="2">
        <f>SUM(G28:G29)</f>
        <v>17738</v>
      </c>
      <c r="H30" s="2">
        <f t="shared" ref="H30:J30" si="86">SUM(H28:H29)</f>
        <v>18744</v>
      </c>
      <c r="I30" s="2">
        <f t="shared" si="86"/>
        <v>18034</v>
      </c>
      <c r="J30" s="2">
        <f t="shared" si="86"/>
        <v>19191.63</v>
      </c>
      <c r="K30" s="2">
        <f t="shared" ref="K30:L30" si="87">SUM(K28:K29)</f>
        <v>18335.739999999998</v>
      </c>
      <c r="L30" s="2">
        <f t="shared" si="87"/>
        <v>19510.7503</v>
      </c>
      <c r="O30" s="2">
        <f t="shared" ref="O30:X30" si="88">SUM(O28:O29)</f>
        <v>10304</v>
      </c>
      <c r="P30" s="2">
        <f t="shared" si="88"/>
        <v>12265</v>
      </c>
      <c r="Q30" s="2">
        <f t="shared" si="88"/>
        <v>13073</v>
      </c>
      <c r="R30" s="2">
        <f t="shared" si="88"/>
        <v>0</v>
      </c>
      <c r="S30" s="2">
        <f t="shared" si="88"/>
        <v>0</v>
      </c>
      <c r="T30" s="2">
        <f t="shared" si="88"/>
        <v>0</v>
      </c>
      <c r="U30" s="2">
        <f t="shared" si="88"/>
        <v>0</v>
      </c>
      <c r="V30" s="2">
        <f t="shared" si="88"/>
        <v>21221</v>
      </c>
      <c r="W30" s="2">
        <f t="shared" si="88"/>
        <v>24071</v>
      </c>
      <c r="X30" s="2">
        <f t="shared" si="88"/>
        <v>20433</v>
      </c>
      <c r="Y30" s="2">
        <f>SUM(Y28:Y29)</f>
        <v>26722</v>
      </c>
      <c r="Z30" s="2">
        <f>SUM(Z28:Z29)</f>
        <v>33178</v>
      </c>
      <c r="AA30" s="2">
        <f t="shared" ref="AA30:AQ30" si="89">SUM(AA28:AA29)</f>
        <v>36482</v>
      </c>
      <c r="AB30" s="2">
        <f t="shared" si="89"/>
        <v>37225.629999999997</v>
      </c>
      <c r="AC30" s="2">
        <f t="shared" si="89"/>
        <v>37846.490300000005</v>
      </c>
      <c r="AD30" s="2">
        <f t="shared" si="89"/>
        <v>40874.209524000005</v>
      </c>
      <c r="AE30" s="2">
        <f t="shared" si="89"/>
        <v>44144.146285920011</v>
      </c>
      <c r="AF30" s="2">
        <f t="shared" si="89"/>
        <v>47675.677988793614</v>
      </c>
      <c r="AG30" s="2">
        <f t="shared" si="89"/>
        <v>51489.732227897104</v>
      </c>
      <c r="AH30" s="2">
        <f t="shared" si="89"/>
        <v>55608.910806128872</v>
      </c>
      <c r="AI30" s="2">
        <f t="shared" si="89"/>
        <v>56721.089022251457</v>
      </c>
      <c r="AJ30" s="2">
        <f t="shared" si="89"/>
        <v>57855.510802696481</v>
      </c>
      <c r="AK30" s="2">
        <f t="shared" si="89"/>
        <v>59012.621018750404</v>
      </c>
      <c r="AL30" s="2">
        <f t="shared" si="89"/>
        <v>60192.873439125418</v>
      </c>
      <c r="AM30" s="2">
        <f t="shared" si="89"/>
        <v>61396.730907907928</v>
      </c>
      <c r="AN30" s="2">
        <f t="shared" si="89"/>
        <v>62624.665526066085</v>
      </c>
      <c r="AO30" s="2">
        <f t="shared" si="89"/>
        <v>63877.158836587412</v>
      </c>
      <c r="AP30" s="2">
        <f t="shared" si="89"/>
        <v>65154.702013319162</v>
      </c>
      <c r="AQ30" s="2">
        <f t="shared" si="89"/>
        <v>66457.796053585553</v>
      </c>
    </row>
    <row r="31" spans="2:46" s="2" customFormat="1" x14ac:dyDescent="0.25">
      <c r="B31" s="3" t="s">
        <v>158</v>
      </c>
      <c r="C31" s="3">
        <f t="shared" ref="C31:D31" si="90">C27-C30</f>
        <v>7653</v>
      </c>
      <c r="D31" s="3">
        <f t="shared" si="90"/>
        <v>9505</v>
      </c>
      <c r="E31" s="3">
        <f>E27-E30</f>
        <v>10232</v>
      </c>
      <c r="F31" s="3">
        <f t="shared" ref="F31" si="91">F27-F30</f>
        <v>10786</v>
      </c>
      <c r="G31" s="3">
        <f>G27-G30</f>
        <v>11579</v>
      </c>
      <c r="H31" s="3">
        <f t="shared" ref="H31:J31" si="92">H27-H30</f>
        <v>11216</v>
      </c>
      <c r="I31" s="3">
        <f t="shared" si="92"/>
        <v>10659</v>
      </c>
      <c r="J31" s="3">
        <f t="shared" si="92"/>
        <v>11429.1486</v>
      </c>
      <c r="K31" s="3">
        <f t="shared" ref="K31:L31" si="93">K27-K30</f>
        <v>11823.9254</v>
      </c>
      <c r="L31" s="3">
        <f t="shared" si="93"/>
        <v>12142.996112000001</v>
      </c>
      <c r="M31" s="3"/>
      <c r="N31" s="3"/>
      <c r="O31" s="3">
        <f t="shared" ref="O31:X31" si="94">O27-O30</f>
        <v>5263</v>
      </c>
      <c r="P31" s="3">
        <f t="shared" si="94"/>
        <v>5921</v>
      </c>
      <c r="Q31" s="3">
        <f t="shared" si="94"/>
        <v>6021</v>
      </c>
      <c r="R31" s="3">
        <f t="shared" si="94"/>
        <v>30638</v>
      </c>
      <c r="S31" s="3">
        <f t="shared" si="94"/>
        <v>35664</v>
      </c>
      <c r="T31" s="3">
        <f t="shared" si="94"/>
        <v>37600</v>
      </c>
      <c r="U31" s="3">
        <f t="shared" si="94"/>
        <v>42636</v>
      </c>
      <c r="V31" s="3">
        <f t="shared" si="94"/>
        <v>9980</v>
      </c>
      <c r="W31" s="3">
        <f t="shared" si="94"/>
        <v>11476</v>
      </c>
      <c r="X31" s="3">
        <f t="shared" si="94"/>
        <v>8347</v>
      </c>
      <c r="Y31" s="3">
        <f>Y27-Y30</f>
        <v>17158</v>
      </c>
      <c r="Z31" s="3">
        <f>Z27-Z30</f>
        <v>21018</v>
      </c>
      <c r="AA31" s="3">
        <f t="shared" ref="AA31:AQ31" si="95">AA27-AA30</f>
        <v>22795</v>
      </c>
      <c r="AB31" s="3">
        <f t="shared" si="95"/>
        <v>22088.148600000008</v>
      </c>
      <c r="AC31" s="3">
        <f t="shared" si="95"/>
        <v>23966.921512000001</v>
      </c>
      <c r="AD31" s="3">
        <f t="shared" si="95"/>
        <v>26892.212912700008</v>
      </c>
      <c r="AE31" s="3">
        <f t="shared" si="95"/>
        <v>30159.554812124989</v>
      </c>
      <c r="AF31" s="3">
        <f t="shared" si="95"/>
        <v>33807.456464674644</v>
      </c>
      <c r="AG31" s="3">
        <f t="shared" si="95"/>
        <v>37878.63893608949</v>
      </c>
      <c r="AH31" s="3">
        <f t="shared" si="95"/>
        <v>42420.485965676402</v>
      </c>
      <c r="AI31" s="3">
        <f t="shared" si="95"/>
        <v>44142.413151577086</v>
      </c>
      <c r="AJ31" s="3">
        <f t="shared" si="95"/>
        <v>45926.052170204734</v>
      </c>
      <c r="AK31" s="3">
        <f t="shared" si="95"/>
        <v>47773.466134534232</v>
      </c>
      <c r="AL31" s="3">
        <f t="shared" si="95"/>
        <v>49686.78439286611</v>
      </c>
      <c r="AM31" s="3">
        <f t="shared" si="95"/>
        <v>51668.204603792765</v>
      </c>
      <c r="AN31" s="3">
        <f t="shared" si="95"/>
        <v>53719.994875182565</v>
      </c>
      <c r="AO31" s="3">
        <f t="shared" si="95"/>
        <v>55844.495969137592</v>
      </c>
      <c r="AP31" s="3">
        <f t="shared" si="95"/>
        <v>58044.123574940859</v>
      </c>
      <c r="AQ31" s="3">
        <f t="shared" si="95"/>
        <v>60321.370652069178</v>
      </c>
    </row>
    <row r="32" spans="2:46" s="2" customFormat="1" x14ac:dyDescent="0.25">
      <c r="B32" s="2" t="s">
        <v>8</v>
      </c>
      <c r="C32" s="2">
        <v>-12</v>
      </c>
      <c r="D32" s="2">
        <f t="shared" ref="D32" si="96">Y32-C32</f>
        <v>65</v>
      </c>
      <c r="E32" s="2">
        <v>-798</v>
      </c>
      <c r="F32" s="6">
        <f t="shared" ref="F32" si="97">Z32-E32</f>
        <v>-90</v>
      </c>
      <c r="G32" s="2">
        <v>467</v>
      </c>
      <c r="H32" s="6">
        <f>AA32-G32</f>
        <v>-1402</v>
      </c>
      <c r="I32" s="6">
        <v>-255</v>
      </c>
      <c r="J32" s="6">
        <f t="shared" ref="J32" si="98">AVERAGE(H32:I32)</f>
        <v>-828.5</v>
      </c>
      <c r="K32" s="6">
        <f t="shared" ref="K32" si="99">AVERAGE(I32:J32)</f>
        <v>-541.75</v>
      </c>
      <c r="L32" s="6">
        <f t="shared" ref="L32" si="100">AVERAGE(J32:K32)</f>
        <v>-685.125</v>
      </c>
      <c r="O32" s="2">
        <f>-151-91</f>
        <v>-242</v>
      </c>
      <c r="P32" s="2">
        <f>-140+126</f>
        <v>-14</v>
      </c>
      <c r="Q32" s="2">
        <f>-103-96</f>
        <v>-199</v>
      </c>
      <c r="V32" s="2">
        <v>-117</v>
      </c>
      <c r="W32" s="2">
        <f>-107-290</f>
        <v>-397</v>
      </c>
      <c r="X32" s="2">
        <f>-35-281</f>
        <v>-316</v>
      </c>
      <c r="Y32" s="2">
        <v>53</v>
      </c>
      <c r="Z32" s="2">
        <v>-888</v>
      </c>
      <c r="AA32" s="2">
        <v>-935</v>
      </c>
      <c r="AB32" s="2">
        <f t="shared" ref="AB32" si="101">SUM(I32:J32)</f>
        <v>-1083.5</v>
      </c>
      <c r="AC32" s="2">
        <f t="shared" ref="AC32" si="102">SUM(K32:L32)</f>
        <v>-1226.875</v>
      </c>
      <c r="AD32" s="2">
        <f t="shared" ref="AD32:AQ32" si="103">AC55*$AT40</f>
        <v>267.43808833776001</v>
      </c>
      <c r="AE32" s="2">
        <f t="shared" si="103"/>
        <v>810.08791533849455</v>
      </c>
      <c r="AF32" s="2">
        <f t="shared" si="103"/>
        <v>1428.8613770332149</v>
      </c>
      <c r="AG32" s="2">
        <f t="shared" si="103"/>
        <v>2132.8830075105379</v>
      </c>
      <c r="AH32" s="2">
        <f t="shared" si="103"/>
        <v>2932.3132159436664</v>
      </c>
      <c r="AI32" s="2">
        <f t="shared" si="103"/>
        <v>3838.4621435924355</v>
      </c>
      <c r="AJ32" s="2">
        <f t="shared" si="103"/>
        <v>4797.1200319899226</v>
      </c>
      <c r="AK32" s="2">
        <f t="shared" si="103"/>
        <v>5810.5690125897718</v>
      </c>
      <c r="AL32" s="2">
        <f t="shared" si="103"/>
        <v>6881.1780348293096</v>
      </c>
      <c r="AM32" s="2">
        <f t="shared" si="103"/>
        <v>8011.4059241346631</v>
      </c>
      <c r="AN32" s="2">
        <f t="shared" si="103"/>
        <v>9203.8045424826523</v>
      </c>
      <c r="AO32" s="2">
        <f t="shared" si="103"/>
        <v>10461.022054847603</v>
      </c>
      <c r="AP32" s="2">
        <f t="shared" si="103"/>
        <v>11785.806304966827</v>
      </c>
      <c r="AQ32" s="2">
        <f t="shared" si="103"/>
        <v>13181.008303967383</v>
      </c>
      <c r="AR32" s="2">
        <f>SUM(AD32:AQ32)</f>
        <v>81541.959957564235</v>
      </c>
    </row>
    <row r="33" spans="2:193" s="2" customFormat="1" x14ac:dyDescent="0.25">
      <c r="B33" s="42" t="s">
        <v>159</v>
      </c>
      <c r="C33" s="2">
        <f t="shared" ref="C33:D33" si="104">SUM(C31:C32)</f>
        <v>7641</v>
      </c>
      <c r="D33" s="2">
        <f t="shared" si="104"/>
        <v>9570</v>
      </c>
      <c r="E33" s="2">
        <f>SUM(E31:E32)</f>
        <v>9434</v>
      </c>
      <c r="F33" s="2">
        <f t="shared" ref="F33" si="105">SUM(F31:F32)</f>
        <v>10696</v>
      </c>
      <c r="G33" s="2">
        <f>SUM(G31:G32)</f>
        <v>12046</v>
      </c>
      <c r="H33" s="2">
        <f t="shared" ref="H33:L33" si="106">SUM(H31:H32)</f>
        <v>9814</v>
      </c>
      <c r="I33" s="2">
        <f t="shared" si="106"/>
        <v>10404</v>
      </c>
      <c r="J33" s="2">
        <f t="shared" si="106"/>
        <v>10600.6486</v>
      </c>
      <c r="K33" s="2">
        <f t="shared" si="106"/>
        <v>11282.1754</v>
      </c>
      <c r="L33" s="2">
        <f t="shared" si="106"/>
        <v>11457.871112000001</v>
      </c>
      <c r="O33" s="2">
        <f t="shared" ref="O33:X33" si="107">SUM(O31:O32)</f>
        <v>5021</v>
      </c>
      <c r="P33" s="2">
        <f t="shared" si="107"/>
        <v>5907</v>
      </c>
      <c r="Q33" s="2">
        <f t="shared" si="107"/>
        <v>5822</v>
      </c>
      <c r="R33" s="2">
        <f t="shared" si="107"/>
        <v>30638</v>
      </c>
      <c r="S33" s="2">
        <f t="shared" si="107"/>
        <v>35664</v>
      </c>
      <c r="T33" s="2">
        <f t="shared" si="107"/>
        <v>37600</v>
      </c>
      <c r="U33" s="2">
        <f t="shared" si="107"/>
        <v>42636</v>
      </c>
      <c r="V33" s="2">
        <f t="shared" si="107"/>
        <v>9863</v>
      </c>
      <c r="W33" s="2">
        <f t="shared" si="107"/>
        <v>11079</v>
      </c>
      <c r="X33" s="2">
        <f t="shared" si="107"/>
        <v>8031</v>
      </c>
      <c r="Y33" s="2">
        <f>SUM(Y31:Y32)</f>
        <v>17211</v>
      </c>
      <c r="Z33" s="2">
        <f>SUM(Z31:Z32)</f>
        <v>20130</v>
      </c>
      <c r="AA33" s="2">
        <f t="shared" ref="AA33:AQ33" si="108">SUM(AA31:AA32)</f>
        <v>21860</v>
      </c>
      <c r="AB33" s="2">
        <f t="shared" si="108"/>
        <v>21004.648600000008</v>
      </c>
      <c r="AC33" s="2">
        <f t="shared" si="108"/>
        <v>22740.046512000001</v>
      </c>
      <c r="AD33" s="2">
        <f t="shared" si="108"/>
        <v>27159.651001037768</v>
      </c>
      <c r="AE33" s="2">
        <f t="shared" si="108"/>
        <v>30969.642727463484</v>
      </c>
      <c r="AF33" s="2">
        <f t="shared" si="108"/>
        <v>35236.31784170786</v>
      </c>
      <c r="AG33" s="2">
        <f t="shared" si="108"/>
        <v>40011.521943600026</v>
      </c>
      <c r="AH33" s="2">
        <f t="shared" si="108"/>
        <v>45352.799181620067</v>
      </c>
      <c r="AI33" s="2">
        <f t="shared" si="108"/>
        <v>47980.875295169521</v>
      </c>
      <c r="AJ33" s="2">
        <f t="shared" si="108"/>
        <v>50723.172202194655</v>
      </c>
      <c r="AK33" s="2">
        <f t="shared" si="108"/>
        <v>53584.035147124006</v>
      </c>
      <c r="AL33" s="2">
        <f t="shared" si="108"/>
        <v>56567.96242769542</v>
      </c>
      <c r="AM33" s="2">
        <f t="shared" si="108"/>
        <v>59679.610527927427</v>
      </c>
      <c r="AN33" s="2">
        <f t="shared" si="108"/>
        <v>62923.799417665214</v>
      </c>
      <c r="AO33" s="2">
        <f t="shared" si="108"/>
        <v>66305.518023985191</v>
      </c>
      <c r="AP33" s="2">
        <f t="shared" si="108"/>
        <v>69829.929879907693</v>
      </c>
      <c r="AQ33" s="2">
        <f t="shared" si="108"/>
        <v>73502.378956036555</v>
      </c>
    </row>
    <row r="34" spans="2:193" s="2" customFormat="1" x14ac:dyDescent="0.25">
      <c r="B34" s="42" t="s">
        <v>160</v>
      </c>
      <c r="C34" s="2">
        <v>2010</v>
      </c>
      <c r="D34" s="2">
        <f t="shared" ref="D34" si="109">Y34-C34</f>
        <v>2500</v>
      </c>
      <c r="E34" s="2">
        <v>2385</v>
      </c>
      <c r="F34" s="6">
        <f t="shared" ref="F34" si="110">Z34-E34</f>
        <v>2977</v>
      </c>
      <c r="G34" s="2">
        <v>3129</v>
      </c>
      <c r="H34" s="6">
        <f>AA34-G34</f>
        <v>2544</v>
      </c>
      <c r="I34" s="6">
        <v>2805</v>
      </c>
      <c r="J34" s="6">
        <f t="shared" ref="J34:L34" si="111">J33*0.26</f>
        <v>2756.1686360000003</v>
      </c>
      <c r="K34" s="6">
        <f t="shared" si="111"/>
        <v>2933.3656040000001</v>
      </c>
      <c r="L34" s="6">
        <f t="shared" si="111"/>
        <v>2979.0464891200004</v>
      </c>
      <c r="O34" s="2">
        <v>1453</v>
      </c>
      <c r="P34" s="2">
        <v>1820</v>
      </c>
      <c r="Q34" s="2">
        <v>1755</v>
      </c>
      <c r="V34" s="2">
        <v>2499</v>
      </c>
      <c r="W34" s="2">
        <v>2932</v>
      </c>
      <c r="X34" s="2">
        <v>2409</v>
      </c>
      <c r="Y34" s="2">
        <v>4510</v>
      </c>
      <c r="Z34" s="2">
        <v>5362</v>
      </c>
      <c r="AA34" s="2">
        <v>5673</v>
      </c>
      <c r="AB34" s="2">
        <f t="shared" ref="AB34" si="112">SUM(I34:J34)</f>
        <v>5561.1686360000003</v>
      </c>
      <c r="AC34" s="2">
        <f t="shared" ref="AC34" si="113">SUM(K34:L34)</f>
        <v>5912.4120931200005</v>
      </c>
      <c r="AD34" s="2">
        <f t="shared" ref="AD34:AQ34" si="114">AD33*0.26</f>
        <v>7061.5092602698196</v>
      </c>
      <c r="AE34" s="2">
        <f t="shared" si="114"/>
        <v>8052.1071091405065</v>
      </c>
      <c r="AF34" s="2">
        <f t="shared" si="114"/>
        <v>9161.4426388440443</v>
      </c>
      <c r="AG34" s="2">
        <f t="shared" si="114"/>
        <v>10402.995705336007</v>
      </c>
      <c r="AH34" s="2">
        <f t="shared" si="114"/>
        <v>11791.727787221218</v>
      </c>
      <c r="AI34" s="2">
        <f t="shared" si="114"/>
        <v>12475.027576744076</v>
      </c>
      <c r="AJ34" s="2">
        <f t="shared" si="114"/>
        <v>13188.02477257061</v>
      </c>
      <c r="AK34" s="2">
        <f t="shared" si="114"/>
        <v>13931.849138252242</v>
      </c>
      <c r="AL34" s="2">
        <f t="shared" si="114"/>
        <v>14707.670231200809</v>
      </c>
      <c r="AM34" s="2">
        <f t="shared" si="114"/>
        <v>15516.698737261131</v>
      </c>
      <c r="AN34" s="2">
        <f t="shared" si="114"/>
        <v>16360.187848592956</v>
      </c>
      <c r="AO34" s="2">
        <f t="shared" si="114"/>
        <v>17239.434686236149</v>
      </c>
      <c r="AP34" s="2">
        <f t="shared" si="114"/>
        <v>18155.781768776</v>
      </c>
      <c r="AQ34" s="2">
        <f t="shared" si="114"/>
        <v>19110.618528569506</v>
      </c>
    </row>
    <row r="35" spans="2:193" s="3" customFormat="1" x14ac:dyDescent="0.25">
      <c r="B35" s="3" t="s">
        <v>10</v>
      </c>
      <c r="C35" s="3">
        <f t="shared" ref="C35:D35" si="115">C33-C34</f>
        <v>5631</v>
      </c>
      <c r="D35" s="3">
        <f t="shared" si="115"/>
        <v>7070</v>
      </c>
      <c r="E35" s="3">
        <f>E33-E34</f>
        <v>7049</v>
      </c>
      <c r="F35" s="3">
        <f t="shared" ref="F35" si="116">F33-F34</f>
        <v>7719</v>
      </c>
      <c r="G35" s="3">
        <f>G33-G34</f>
        <v>8917</v>
      </c>
      <c r="H35" s="3">
        <f t="shared" ref="H35:L35" si="117">H33-H34</f>
        <v>7270</v>
      </c>
      <c r="I35" s="3">
        <f t="shared" si="117"/>
        <v>7599</v>
      </c>
      <c r="J35" s="3">
        <f t="shared" si="117"/>
        <v>7844.4799640000001</v>
      </c>
      <c r="K35" s="3">
        <f t="shared" si="117"/>
        <v>8348.8097959999996</v>
      </c>
      <c r="L35" s="3">
        <f t="shared" si="117"/>
        <v>8478.8246228799999</v>
      </c>
      <c r="O35" s="3">
        <f t="shared" ref="O35:X35" si="118">O33-O34</f>
        <v>3568</v>
      </c>
      <c r="P35" s="3">
        <f t="shared" si="118"/>
        <v>4087</v>
      </c>
      <c r="Q35" s="3">
        <f t="shared" si="118"/>
        <v>4067</v>
      </c>
      <c r="R35" s="3">
        <f t="shared" si="118"/>
        <v>30638</v>
      </c>
      <c r="S35" s="3">
        <f t="shared" si="118"/>
        <v>35664</v>
      </c>
      <c r="T35" s="3">
        <f t="shared" si="118"/>
        <v>37600</v>
      </c>
      <c r="U35" s="3">
        <f t="shared" si="118"/>
        <v>42636</v>
      </c>
      <c r="V35" s="3">
        <f t="shared" si="118"/>
        <v>7364</v>
      </c>
      <c r="W35" s="3">
        <f t="shared" si="118"/>
        <v>8147</v>
      </c>
      <c r="X35" s="3">
        <f t="shared" si="118"/>
        <v>5622</v>
      </c>
      <c r="Y35" s="3">
        <f>Y33-Y34</f>
        <v>12701</v>
      </c>
      <c r="Z35" s="3">
        <f>Z33-Z34</f>
        <v>14768</v>
      </c>
      <c r="AA35" s="3">
        <f t="shared" ref="AA35:AC35" si="119">AA33-AA34</f>
        <v>16187</v>
      </c>
      <c r="AB35" s="3">
        <f t="shared" si="119"/>
        <v>15443.479964000007</v>
      </c>
      <c r="AC35" s="3">
        <f t="shared" si="119"/>
        <v>16827.634418879999</v>
      </c>
      <c r="AD35" s="3">
        <f t="shared" ref="AD35:AQ35" si="120">AD33-AD34</f>
        <v>20098.141740767947</v>
      </c>
      <c r="AE35" s="3">
        <f t="shared" si="120"/>
        <v>22917.535618322978</v>
      </c>
      <c r="AF35" s="3">
        <f t="shared" si="120"/>
        <v>26074.875202863816</v>
      </c>
      <c r="AG35" s="3">
        <f t="shared" si="120"/>
        <v>29608.526238264021</v>
      </c>
      <c r="AH35" s="3">
        <f t="shared" si="120"/>
        <v>33561.071394398852</v>
      </c>
      <c r="AI35" s="3">
        <f t="shared" si="120"/>
        <v>35505.847718425444</v>
      </c>
      <c r="AJ35" s="3">
        <f t="shared" si="120"/>
        <v>37535.147429624049</v>
      </c>
      <c r="AK35" s="3">
        <f t="shared" si="120"/>
        <v>39652.186008871766</v>
      </c>
      <c r="AL35" s="3">
        <f t="shared" si="120"/>
        <v>41860.292196494614</v>
      </c>
      <c r="AM35" s="3">
        <f t="shared" si="120"/>
        <v>44162.911790666294</v>
      </c>
      <c r="AN35" s="3">
        <f t="shared" si="120"/>
        <v>46563.611569072258</v>
      </c>
      <c r="AO35" s="3">
        <f t="shared" si="120"/>
        <v>49066.083337749042</v>
      </c>
      <c r="AP35" s="3">
        <f t="shared" si="120"/>
        <v>51674.148111131697</v>
      </c>
      <c r="AQ35" s="3">
        <f t="shared" si="120"/>
        <v>54391.760427467045</v>
      </c>
      <c r="AR35" s="3">
        <f>AQ35*(1+$AT39)</f>
        <v>53847.842823192375</v>
      </c>
      <c r="AS35" s="3">
        <f t="shared" ref="AS35:DD35" si="121">AR35*(1+$AT39)</f>
        <v>53309.364394960452</v>
      </c>
      <c r="AT35" s="3">
        <f t="shared" si="121"/>
        <v>52776.270751010845</v>
      </c>
      <c r="AU35" s="3">
        <f t="shared" si="121"/>
        <v>52248.508043500733</v>
      </c>
      <c r="AV35" s="3">
        <f t="shared" si="121"/>
        <v>51726.022963065727</v>
      </c>
      <c r="AW35" s="3">
        <f t="shared" si="121"/>
        <v>51208.762733435069</v>
      </c>
      <c r="AX35" s="3">
        <f t="shared" si="121"/>
        <v>50696.675106100716</v>
      </c>
      <c r="AY35" s="3">
        <f t="shared" si="121"/>
        <v>50189.708355039707</v>
      </c>
      <c r="AZ35" s="3">
        <f t="shared" si="121"/>
        <v>49687.811271489307</v>
      </c>
      <c r="BA35" s="3">
        <f t="shared" si="121"/>
        <v>49190.933158774416</v>
      </c>
      <c r="BB35" s="3">
        <f t="shared" si="121"/>
        <v>48699.023827186669</v>
      </c>
      <c r="BC35" s="3">
        <f t="shared" si="121"/>
        <v>48212.033588914805</v>
      </c>
      <c r="BD35" s="3">
        <f t="shared" si="121"/>
        <v>47729.913253025654</v>
      </c>
      <c r="BE35" s="3">
        <f t="shared" si="121"/>
        <v>47252.614120495396</v>
      </c>
      <c r="BF35" s="3">
        <f t="shared" si="121"/>
        <v>46780.087979290445</v>
      </c>
      <c r="BG35" s="3">
        <f t="shared" si="121"/>
        <v>46312.287099497538</v>
      </c>
      <c r="BH35" s="3">
        <f t="shared" si="121"/>
        <v>45849.164228502559</v>
      </c>
      <c r="BI35" s="3">
        <f t="shared" si="121"/>
        <v>45390.67258621753</v>
      </c>
      <c r="BJ35" s="3">
        <f t="shared" si="121"/>
        <v>44936.765860355357</v>
      </c>
      <c r="BK35" s="3">
        <f t="shared" si="121"/>
        <v>44487.398201751806</v>
      </c>
      <c r="BL35" s="3">
        <f t="shared" si="121"/>
        <v>44042.524219734289</v>
      </c>
      <c r="BM35" s="3">
        <f t="shared" si="121"/>
        <v>43602.098977536945</v>
      </c>
      <c r="BN35" s="3">
        <f t="shared" si="121"/>
        <v>43166.077987761579</v>
      </c>
      <c r="BO35" s="3">
        <f t="shared" si="121"/>
        <v>42734.417207883962</v>
      </c>
      <c r="BP35" s="3">
        <f t="shared" si="121"/>
        <v>42307.073035805122</v>
      </c>
      <c r="BQ35" s="3">
        <f t="shared" si="121"/>
        <v>41884.002305447073</v>
      </c>
      <c r="BR35" s="3">
        <f t="shared" si="121"/>
        <v>41465.162282392601</v>
      </c>
      <c r="BS35" s="3">
        <f t="shared" si="121"/>
        <v>41050.510659568674</v>
      </c>
      <c r="BT35" s="3">
        <f t="shared" si="121"/>
        <v>40640.005552972987</v>
      </c>
      <c r="BU35" s="3">
        <f t="shared" si="121"/>
        <v>40233.605497443255</v>
      </c>
      <c r="BV35" s="3">
        <f t="shared" si="121"/>
        <v>39831.269442468823</v>
      </c>
      <c r="BW35" s="3">
        <f t="shared" si="121"/>
        <v>39432.956748044133</v>
      </c>
      <c r="BX35" s="3">
        <f t="shared" si="121"/>
        <v>39038.627180563693</v>
      </c>
      <c r="BY35" s="3">
        <f t="shared" si="121"/>
        <v>38648.240908758053</v>
      </c>
      <c r="BZ35" s="3">
        <f t="shared" si="121"/>
        <v>38261.758499670475</v>
      </c>
      <c r="CA35" s="3">
        <f t="shared" si="121"/>
        <v>37879.140914673771</v>
      </c>
      <c r="CB35" s="3">
        <f t="shared" si="121"/>
        <v>37500.349505527032</v>
      </c>
      <c r="CC35" s="3">
        <f t="shared" si="121"/>
        <v>37125.34601047176</v>
      </c>
      <c r="CD35" s="3">
        <f t="shared" si="121"/>
        <v>36754.092550367044</v>
      </c>
      <c r="CE35" s="3">
        <f t="shared" si="121"/>
        <v>36386.551624863372</v>
      </c>
      <c r="CF35" s="3">
        <f t="shared" si="121"/>
        <v>36022.68610861474</v>
      </c>
      <c r="CG35" s="3">
        <f t="shared" si="121"/>
        <v>35662.45924752859</v>
      </c>
      <c r="CH35" s="3">
        <f t="shared" si="121"/>
        <v>35305.834655053302</v>
      </c>
      <c r="CI35" s="3">
        <f t="shared" si="121"/>
        <v>34952.776308502769</v>
      </c>
      <c r="CJ35" s="3">
        <f t="shared" si="121"/>
        <v>34603.248545417744</v>
      </c>
      <c r="CK35" s="3">
        <f t="shared" si="121"/>
        <v>34257.216059963568</v>
      </c>
      <c r="CL35" s="3">
        <f t="shared" si="121"/>
        <v>33914.643899363931</v>
      </c>
      <c r="CM35" s="3">
        <f t="shared" si="121"/>
        <v>33575.497460370294</v>
      </c>
      <c r="CN35" s="3">
        <f t="shared" si="121"/>
        <v>33239.74248576659</v>
      </c>
      <c r="CO35" s="3">
        <f t="shared" si="121"/>
        <v>32907.345060908927</v>
      </c>
      <c r="CP35" s="3">
        <f t="shared" si="121"/>
        <v>32578.271610299838</v>
      </c>
      <c r="CQ35" s="3">
        <f t="shared" si="121"/>
        <v>32252.488894196838</v>
      </c>
      <c r="CR35" s="3">
        <f t="shared" si="121"/>
        <v>31929.964005254871</v>
      </c>
      <c r="CS35" s="3">
        <f t="shared" si="121"/>
        <v>31610.664365202323</v>
      </c>
      <c r="CT35" s="3">
        <f t="shared" si="121"/>
        <v>31294.5577215503</v>
      </c>
      <c r="CU35" s="3">
        <f t="shared" si="121"/>
        <v>30981.612144334798</v>
      </c>
      <c r="CV35" s="3">
        <f t="shared" si="121"/>
        <v>30671.796022891449</v>
      </c>
      <c r="CW35" s="3">
        <f t="shared" si="121"/>
        <v>30365.078062662535</v>
      </c>
      <c r="CX35" s="3">
        <f t="shared" si="121"/>
        <v>30061.427282035907</v>
      </c>
      <c r="CY35" s="3">
        <f t="shared" si="121"/>
        <v>29760.813009215548</v>
      </c>
      <c r="CZ35" s="3">
        <f t="shared" si="121"/>
        <v>29463.204879123394</v>
      </c>
      <c r="DA35" s="3">
        <f t="shared" si="121"/>
        <v>29168.572830332159</v>
      </c>
      <c r="DB35" s="3">
        <f t="shared" si="121"/>
        <v>28876.887102028839</v>
      </c>
      <c r="DC35" s="3">
        <f t="shared" si="121"/>
        <v>28588.11823100855</v>
      </c>
      <c r="DD35" s="3">
        <f t="shared" si="121"/>
        <v>28302.237048698466</v>
      </c>
      <c r="DE35" s="3">
        <f t="shared" ref="DE35:FP35" si="122">DD35*(1+$AT39)</f>
        <v>28019.21467821148</v>
      </c>
      <c r="DF35" s="3">
        <f t="shared" si="122"/>
        <v>27739.022531429364</v>
      </c>
      <c r="DG35" s="3">
        <f t="shared" si="122"/>
        <v>27461.632306115069</v>
      </c>
      <c r="DH35" s="3">
        <f t="shared" si="122"/>
        <v>27187.01598305392</v>
      </c>
      <c r="DI35" s="3">
        <f t="shared" si="122"/>
        <v>26915.145823223382</v>
      </c>
      <c r="DJ35" s="3">
        <f t="shared" si="122"/>
        <v>26645.994364991147</v>
      </c>
      <c r="DK35" s="3">
        <f t="shared" si="122"/>
        <v>26379.534421341235</v>
      </c>
      <c r="DL35" s="3">
        <f t="shared" si="122"/>
        <v>26115.739077127822</v>
      </c>
      <c r="DM35" s="3">
        <f t="shared" si="122"/>
        <v>25854.581686356545</v>
      </c>
      <c r="DN35" s="3">
        <f t="shared" si="122"/>
        <v>25596.035869492978</v>
      </c>
      <c r="DO35" s="3">
        <f t="shared" si="122"/>
        <v>25340.075510798048</v>
      </c>
      <c r="DP35" s="3">
        <f t="shared" si="122"/>
        <v>25086.674755690066</v>
      </c>
      <c r="DQ35" s="3">
        <f t="shared" si="122"/>
        <v>24835.808008133165</v>
      </c>
      <c r="DR35" s="3">
        <f t="shared" si="122"/>
        <v>24587.449928051832</v>
      </c>
      <c r="DS35" s="3">
        <f t="shared" si="122"/>
        <v>24341.575428771313</v>
      </c>
      <c r="DT35" s="3">
        <f t="shared" si="122"/>
        <v>24098.159674483599</v>
      </c>
      <c r="DU35" s="3">
        <f t="shared" si="122"/>
        <v>23857.178077738761</v>
      </c>
      <c r="DV35" s="3">
        <f t="shared" si="122"/>
        <v>23618.606296961374</v>
      </c>
      <c r="DW35" s="3">
        <f t="shared" si="122"/>
        <v>23382.420233991761</v>
      </c>
      <c r="DX35" s="3">
        <f t="shared" si="122"/>
        <v>23148.596031651843</v>
      </c>
      <c r="DY35" s="3">
        <f t="shared" si="122"/>
        <v>22917.110071335326</v>
      </c>
      <c r="DZ35" s="3">
        <f t="shared" si="122"/>
        <v>22687.938970621974</v>
      </c>
      <c r="EA35" s="3">
        <f t="shared" si="122"/>
        <v>22461.059580915753</v>
      </c>
      <c r="EB35" s="3">
        <f t="shared" si="122"/>
        <v>22236.448985106596</v>
      </c>
      <c r="EC35" s="3">
        <f t="shared" si="122"/>
        <v>22014.084495255531</v>
      </c>
      <c r="ED35" s="3">
        <f t="shared" si="122"/>
        <v>21793.943650302976</v>
      </c>
      <c r="EE35" s="3">
        <f t="shared" si="122"/>
        <v>21576.004213799944</v>
      </c>
      <c r="EF35" s="3">
        <f t="shared" si="122"/>
        <v>21360.244171661943</v>
      </c>
      <c r="EG35" s="3">
        <f t="shared" si="122"/>
        <v>21146.641729945324</v>
      </c>
      <c r="EH35" s="3">
        <f t="shared" si="122"/>
        <v>20935.175312645872</v>
      </c>
      <c r="EI35" s="3">
        <f t="shared" si="122"/>
        <v>20725.823559519413</v>
      </c>
      <c r="EJ35" s="3">
        <f t="shared" si="122"/>
        <v>20518.56532392422</v>
      </c>
      <c r="EK35" s="3">
        <f t="shared" si="122"/>
        <v>20313.379670684979</v>
      </c>
      <c r="EL35" s="3">
        <f t="shared" si="122"/>
        <v>20110.245873978129</v>
      </c>
      <c r="EM35" s="3">
        <f t="shared" si="122"/>
        <v>19909.143415238348</v>
      </c>
      <c r="EN35" s="3">
        <f t="shared" si="122"/>
        <v>19710.051981085966</v>
      </c>
      <c r="EO35" s="3">
        <f t="shared" si="122"/>
        <v>19512.951461275105</v>
      </c>
      <c r="EP35" s="3">
        <f t="shared" si="122"/>
        <v>19317.821946662352</v>
      </c>
      <c r="EQ35" s="3">
        <f t="shared" si="122"/>
        <v>19124.643727195729</v>
      </c>
      <c r="ER35" s="3">
        <f t="shared" si="122"/>
        <v>18933.397289923771</v>
      </c>
      <c r="ES35" s="3">
        <f t="shared" si="122"/>
        <v>18744.063317024531</v>
      </c>
      <c r="ET35" s="3">
        <f t="shared" si="122"/>
        <v>18556.622683854286</v>
      </c>
      <c r="EU35" s="3">
        <f t="shared" si="122"/>
        <v>18371.056457015744</v>
      </c>
      <c r="EV35" s="3">
        <f t="shared" si="122"/>
        <v>18187.345892445588</v>
      </c>
      <c r="EW35" s="3">
        <f t="shared" si="122"/>
        <v>18005.472433521132</v>
      </c>
      <c r="EX35" s="3">
        <f t="shared" si="122"/>
        <v>17825.41770918592</v>
      </c>
      <c r="EY35" s="3">
        <f t="shared" si="122"/>
        <v>17647.163532094062</v>
      </c>
      <c r="EZ35" s="3">
        <f t="shared" si="122"/>
        <v>17470.691896773122</v>
      </c>
      <c r="FA35" s="3">
        <f t="shared" si="122"/>
        <v>17295.98497780539</v>
      </c>
      <c r="FB35" s="3">
        <f t="shared" si="122"/>
        <v>17123.025128027337</v>
      </c>
      <c r="FC35" s="3">
        <f t="shared" si="122"/>
        <v>16951.794876747063</v>
      </c>
      <c r="FD35" s="3">
        <f t="shared" si="122"/>
        <v>16782.27692797959</v>
      </c>
      <c r="FE35" s="3">
        <f t="shared" si="122"/>
        <v>16614.454158699795</v>
      </c>
      <c r="FF35" s="3">
        <f t="shared" si="122"/>
        <v>16448.309617112798</v>
      </c>
      <c r="FG35" s="3">
        <f t="shared" si="122"/>
        <v>16283.82652094167</v>
      </c>
      <c r="FH35" s="3">
        <f t="shared" si="122"/>
        <v>16120.988255732253</v>
      </c>
      <c r="FI35" s="3">
        <f t="shared" si="122"/>
        <v>15959.77837317493</v>
      </c>
      <c r="FJ35" s="3">
        <f t="shared" si="122"/>
        <v>15800.18058944318</v>
      </c>
      <c r="FK35" s="3">
        <f t="shared" si="122"/>
        <v>15642.178783548748</v>
      </c>
      <c r="FL35" s="3">
        <f t="shared" si="122"/>
        <v>15485.75699571326</v>
      </c>
      <c r="FM35" s="3">
        <f t="shared" si="122"/>
        <v>15330.899425756128</v>
      </c>
      <c r="FN35" s="3">
        <f t="shared" si="122"/>
        <v>15177.590431498567</v>
      </c>
      <c r="FO35" s="3">
        <f t="shared" si="122"/>
        <v>15025.814527183582</v>
      </c>
      <c r="FP35" s="3">
        <f t="shared" si="122"/>
        <v>14875.556381911745</v>
      </c>
      <c r="FQ35" s="3">
        <f t="shared" ref="FQ35:GK35" si="123">FP35*(1+$AT39)</f>
        <v>14726.800818092628</v>
      </c>
      <c r="FR35" s="3">
        <f t="shared" si="123"/>
        <v>14579.532809911701</v>
      </c>
      <c r="FS35" s="3">
        <f t="shared" si="123"/>
        <v>14433.737481812585</v>
      </c>
      <c r="FT35" s="3">
        <f t="shared" si="123"/>
        <v>14289.400106994459</v>
      </c>
      <c r="FU35" s="3">
        <f t="shared" si="123"/>
        <v>14146.506105924514</v>
      </c>
      <c r="FV35" s="3">
        <f t="shared" si="123"/>
        <v>14005.041044865269</v>
      </c>
      <c r="FW35" s="3">
        <f t="shared" si="123"/>
        <v>13864.990634416616</v>
      </c>
      <c r="FX35" s="3">
        <f t="shared" si="123"/>
        <v>13726.34072807245</v>
      </c>
      <c r="FY35" s="3">
        <f t="shared" si="123"/>
        <v>13589.077320791725</v>
      </c>
      <c r="FZ35" s="3">
        <f t="shared" si="123"/>
        <v>13453.186547583808</v>
      </c>
      <c r="GA35" s="3">
        <f t="shared" si="123"/>
        <v>13318.65468210797</v>
      </c>
      <c r="GB35" s="3">
        <f t="shared" si="123"/>
        <v>13185.46813528689</v>
      </c>
      <c r="GC35" s="3">
        <f t="shared" si="123"/>
        <v>13053.613453934022</v>
      </c>
      <c r="GD35" s="3">
        <f t="shared" si="123"/>
        <v>12923.077319394681</v>
      </c>
      <c r="GE35" s="3">
        <f t="shared" si="123"/>
        <v>12793.846546200733</v>
      </c>
      <c r="GF35" s="3">
        <f t="shared" si="123"/>
        <v>12665.908080738725</v>
      </c>
      <c r="GG35" s="3">
        <f t="shared" si="123"/>
        <v>12539.248999931338</v>
      </c>
      <c r="GH35" s="3">
        <f t="shared" si="123"/>
        <v>12413.856509932026</v>
      </c>
      <c r="GI35" s="3">
        <f t="shared" si="123"/>
        <v>12289.717944832706</v>
      </c>
      <c r="GJ35" s="3">
        <f t="shared" si="123"/>
        <v>12166.820765384378</v>
      </c>
      <c r="GK35" s="3">
        <f t="shared" si="123"/>
        <v>12045.152557730535</v>
      </c>
    </row>
    <row r="36" spans="2:193" s="2" customFormat="1" x14ac:dyDescent="0.25">
      <c r="B36" s="2" t="s">
        <v>11</v>
      </c>
      <c r="C36" s="2">
        <v>504.03016000000002</v>
      </c>
      <c r="D36" s="2">
        <f>Y36*2-C36</f>
        <v>496.57847199999992</v>
      </c>
      <c r="E36" s="2">
        <v>503.02324599999997</v>
      </c>
      <c r="F36" s="6">
        <f>Z36*2-E36</f>
        <v>501.93695400000001</v>
      </c>
      <c r="G36" s="2">
        <v>500.78957000000003</v>
      </c>
      <c r="H36" s="6">
        <f>AA36*2-G36</f>
        <v>507.00161400000002</v>
      </c>
      <c r="I36" s="6">
        <v>499.83172500000001</v>
      </c>
      <c r="J36" s="6">
        <v>503.89559200000002</v>
      </c>
      <c r="K36" s="6">
        <v>503.89559200000002</v>
      </c>
      <c r="L36" s="6">
        <v>503.89559200000002</v>
      </c>
      <c r="O36" s="2">
        <v>492.207492</v>
      </c>
      <c r="P36" s="2">
        <v>502.22995200000003</v>
      </c>
      <c r="Q36" s="2">
        <v>503.21749699999998</v>
      </c>
      <c r="V36" s="2">
        <v>503.91813999999999</v>
      </c>
      <c r="W36" s="2">
        <v>503.83954199999999</v>
      </c>
      <c r="X36" s="2">
        <v>504.21013299999998</v>
      </c>
      <c r="Y36" s="2">
        <v>500.30431599999997</v>
      </c>
      <c r="Z36" s="2">
        <v>502.48009999999999</v>
      </c>
      <c r="AA36" s="2">
        <v>503.89559200000002</v>
      </c>
      <c r="AB36" s="2">
        <f>AVERAGE(I36:J36)</f>
        <v>501.86365850000004</v>
      </c>
      <c r="AC36" s="6">
        <f>AVERAGE(K36:L36)</f>
        <v>503.89559200000002</v>
      </c>
      <c r="AD36" s="6">
        <v>503.89559200000002</v>
      </c>
      <c r="AE36" s="6">
        <v>503.89559200000002</v>
      </c>
      <c r="AF36" s="6">
        <v>503.89559200000002</v>
      </c>
      <c r="AG36" s="6">
        <v>503.89559200000002</v>
      </c>
      <c r="AH36" s="6">
        <v>503.89559200000002</v>
      </c>
      <c r="AI36" s="6">
        <v>503.89559200000002</v>
      </c>
      <c r="AJ36" s="6">
        <v>503.89559200000002</v>
      </c>
      <c r="AK36" s="6">
        <v>503.89559200000002</v>
      </c>
      <c r="AL36" s="6">
        <v>503.89559200000002</v>
      </c>
      <c r="AM36" s="6">
        <v>503.89559200000002</v>
      </c>
      <c r="AN36" s="6">
        <v>503.89559200000002</v>
      </c>
      <c r="AO36" s="6">
        <v>503.89559200000002</v>
      </c>
      <c r="AP36" s="6">
        <v>503.89559200000002</v>
      </c>
      <c r="AQ36" s="6">
        <v>503.89559200000002</v>
      </c>
    </row>
    <row r="37" spans="2:193" s="4" customFormat="1" x14ac:dyDescent="0.25">
      <c r="B37" s="4" t="s">
        <v>12</v>
      </c>
      <c r="C37" s="4">
        <f t="shared" ref="C37:D37" si="124">C35/C36</f>
        <v>11.171950503914289</v>
      </c>
      <c r="D37" s="4">
        <f t="shared" si="124"/>
        <v>14.23742751377269</v>
      </c>
      <c r="E37" s="4">
        <f>E35/E36</f>
        <v>14.013268881812275</v>
      </c>
      <c r="F37" s="4">
        <f t="shared" ref="F37" si="125">F35/F36</f>
        <v>15.378425394835544</v>
      </c>
      <c r="G37" s="4">
        <f>G35/G36</f>
        <v>17.805882019467777</v>
      </c>
      <c r="H37" s="4">
        <f t="shared" ref="H37:L37" si="126">H35/H36</f>
        <v>14.339204845213766</v>
      </c>
      <c r="I37" s="4">
        <f t="shared" si="126"/>
        <v>15.203116608894723</v>
      </c>
      <c r="J37" s="4">
        <f t="shared" si="126"/>
        <v>15.567669351630288</v>
      </c>
      <c r="K37" s="4">
        <f t="shared" si="126"/>
        <v>16.568531117454189</v>
      </c>
      <c r="L37" s="4">
        <f t="shared" si="126"/>
        <v>16.826550494769954</v>
      </c>
      <c r="O37" s="4">
        <f t="shared" ref="O37:X37" si="127">O35/O36</f>
        <v>7.248975397554493</v>
      </c>
      <c r="P37" s="4">
        <f t="shared" si="127"/>
        <v>8.1377066097403912</v>
      </c>
      <c r="Q37" s="4">
        <f t="shared" si="127"/>
        <v>8.0819924272227759</v>
      </c>
      <c r="R37" s="4" t="e">
        <f t="shared" si="127"/>
        <v>#DIV/0!</v>
      </c>
      <c r="S37" s="4" t="e">
        <f t="shared" si="127"/>
        <v>#DIV/0!</v>
      </c>
      <c r="T37" s="4" t="e">
        <f t="shared" si="127"/>
        <v>#DIV/0!</v>
      </c>
      <c r="U37" s="4" t="e">
        <f t="shared" si="127"/>
        <v>#DIV/0!</v>
      </c>
      <c r="V37" s="4">
        <f t="shared" si="127"/>
        <v>14.61348464256516</v>
      </c>
      <c r="W37" s="4">
        <f t="shared" si="127"/>
        <v>16.169830513223197</v>
      </c>
      <c r="X37" s="4">
        <f t="shared" si="127"/>
        <v>11.150113081920153</v>
      </c>
      <c r="Y37" s="4">
        <f t="shared" ref="Y37" si="128">Y35/Y36</f>
        <v>25.386548933949236</v>
      </c>
      <c r="Z37" s="4">
        <f>Z35/Z36</f>
        <v>29.390218637514202</v>
      </c>
      <c r="AA37" s="4">
        <f t="shared" ref="AA37:AB37" si="129">AA35/AA36</f>
        <v>32.123718200733933</v>
      </c>
      <c r="AB37" s="4">
        <f t="shared" si="129"/>
        <v>30.772261952894535</v>
      </c>
      <c r="AC37" s="4">
        <f>AC35/AC36</f>
        <v>33.395081612224139</v>
      </c>
      <c r="AD37" s="4">
        <f t="shared" ref="AD37:AQ37" si="130">AD35/AD36</f>
        <v>39.885527993997506</v>
      </c>
      <c r="AE37" s="4">
        <f t="shared" si="130"/>
        <v>45.480722558737874</v>
      </c>
      <c r="AF37" s="4">
        <f t="shared" si="130"/>
        <v>51.746583254222664</v>
      </c>
      <c r="AG37" s="4">
        <f t="shared" si="130"/>
        <v>58.759248360846982</v>
      </c>
      <c r="AH37" s="4">
        <f t="shared" si="130"/>
        <v>66.603224809314966</v>
      </c>
      <c r="AI37" s="4">
        <f t="shared" si="130"/>
        <v>70.462707517444301</v>
      </c>
      <c r="AJ37" s="4">
        <f t="shared" si="130"/>
        <v>74.489930107632389</v>
      </c>
      <c r="AK37" s="4">
        <f t="shared" si="130"/>
        <v>78.691273824184918</v>
      </c>
      <c r="AL37" s="4">
        <f t="shared" si="130"/>
        <v>83.073344679098938</v>
      </c>
      <c r="AM37" s="4">
        <f t="shared" si="130"/>
        <v>87.642980990129985</v>
      </c>
      <c r="AN37" s="4">
        <f t="shared" si="130"/>
        <v>92.407261163483753</v>
      </c>
      <c r="AO37" s="4">
        <f t="shared" si="130"/>
        <v>97.373511728892126</v>
      </c>
      <c r="AP37" s="4">
        <f t="shared" si="130"/>
        <v>102.54931563507643</v>
      </c>
      <c r="AQ37" s="4">
        <f t="shared" si="130"/>
        <v>107.94252081384955</v>
      </c>
    </row>
    <row r="38" spans="2:193" x14ac:dyDescent="0.25">
      <c r="W38" s="10">
        <f>RATE(8,0,-O25,W25)</f>
        <v>0.10781413299048939</v>
      </c>
      <c r="AA38" s="10">
        <f>RATE(12,0,-O25,AA25)</f>
        <v>0.11371183573494224</v>
      </c>
    </row>
    <row r="39" spans="2:193" s="10" customFormat="1" x14ac:dyDescent="0.25">
      <c r="B39" s="10" t="s">
        <v>17</v>
      </c>
      <c r="E39" s="14">
        <f t="shared" ref="E39:L43" si="131">E18/C18-1</f>
        <v>0.22994454713493528</v>
      </c>
      <c r="F39" s="14">
        <f t="shared" si="131"/>
        <v>0.15386968491893538</v>
      </c>
      <c r="G39" s="14">
        <f t="shared" si="131"/>
        <v>-4.3883378418996144E-2</v>
      </c>
      <c r="H39" s="14">
        <f t="shared" si="131"/>
        <v>-9.3054082714740138E-2</v>
      </c>
      <c r="I39" s="14">
        <f t="shared" si="131"/>
        <v>-0.11757309022320028</v>
      </c>
      <c r="J39" s="14">
        <f t="shared" si="131"/>
        <v>-9.9999999999999978E-2</v>
      </c>
      <c r="K39" s="14">
        <f t="shared" si="131"/>
        <v>3.0000000000000027E-2</v>
      </c>
      <c r="L39" s="14">
        <f t="shared" si="131"/>
        <v>3.0000000000000027E-2</v>
      </c>
      <c r="P39" s="10">
        <f t="shared" ref="P39:Q43" si="132">P18/O18-1</f>
        <v>0.17395005675368891</v>
      </c>
      <c r="Q39" s="10">
        <f t="shared" si="132"/>
        <v>1.2086052695189808E-2</v>
      </c>
      <c r="R39" s="10">
        <f t="shared" ref="R39:S39" si="133">R18/Q18-1</f>
        <v>-5.1110580367805136E-2</v>
      </c>
      <c r="S39" s="10">
        <f t="shared" si="133"/>
        <v>0.1585703498615656</v>
      </c>
      <c r="T39" s="10">
        <f t="shared" ref="T39:V39" si="134">T18/S18-1</f>
        <v>5.040191179665432E-2</v>
      </c>
      <c r="U39" s="10">
        <f t="shared" si="134"/>
        <v>5.1499482936918195E-2</v>
      </c>
      <c r="V39" s="10">
        <f t="shared" si="134"/>
        <v>1.1605035405192865E-2</v>
      </c>
      <c r="W39" s="10">
        <f t="shared" ref="W39" si="135">W18/V18-1</f>
        <v>8.4192105774839598E-2</v>
      </c>
      <c r="X39" s="10">
        <f>X18/W18-1</f>
        <v>-0.14723816355810615</v>
      </c>
      <c r="Y39" s="10">
        <f>Y18/X18-1</f>
        <v>0.25636172450052586</v>
      </c>
      <c r="Z39" s="10">
        <f>Z18/Y18-1</f>
        <v>0.18831603615667891</v>
      </c>
      <c r="AA39" s="10">
        <f t="shared" ref="AA39:AQ39" si="136">AA18/Z18-1</f>
        <v>-7.0009860543738589E-2</v>
      </c>
      <c r="AB39" s="10">
        <f t="shared" si="136"/>
        <v>-0.10846713117237206</v>
      </c>
      <c r="AC39" s="10">
        <f t="shared" si="136"/>
        <v>3.0000000000000249E-2</v>
      </c>
      <c r="AD39" s="10">
        <f t="shared" si="136"/>
        <v>5.0000000000000044E-2</v>
      </c>
      <c r="AE39" s="10">
        <f t="shared" si="136"/>
        <v>5.0000000000000044E-2</v>
      </c>
      <c r="AF39" s="10">
        <f t="shared" si="136"/>
        <v>5.0000000000000044E-2</v>
      </c>
      <c r="AG39" s="10">
        <f t="shared" si="136"/>
        <v>5.0000000000000044E-2</v>
      </c>
      <c r="AH39" s="10">
        <f t="shared" si="136"/>
        <v>5.0000000000000044E-2</v>
      </c>
      <c r="AI39" s="10">
        <f t="shared" si="136"/>
        <v>1.0000000000000009E-2</v>
      </c>
      <c r="AJ39" s="10">
        <f t="shared" si="136"/>
        <v>1.0000000000000009E-2</v>
      </c>
      <c r="AK39" s="10">
        <f t="shared" si="136"/>
        <v>1.0000000000000009E-2</v>
      </c>
      <c r="AL39" s="10">
        <f t="shared" si="136"/>
        <v>1.0000000000000009E-2</v>
      </c>
      <c r="AM39" s="10">
        <f t="shared" si="136"/>
        <v>1.0000000000000009E-2</v>
      </c>
      <c r="AN39" s="10">
        <f t="shared" si="136"/>
        <v>1.0000000000000009E-2</v>
      </c>
      <c r="AO39" s="10">
        <f t="shared" si="136"/>
        <v>1.0000000000000009E-2</v>
      </c>
      <c r="AP39" s="10">
        <f t="shared" si="136"/>
        <v>1.0000000000000009E-2</v>
      </c>
      <c r="AQ39" s="10">
        <f t="shared" si="136"/>
        <v>1.0000000000000009E-2</v>
      </c>
      <c r="AS39" s="15" t="s">
        <v>59</v>
      </c>
      <c r="AT39" s="10">
        <v>-0.01</v>
      </c>
    </row>
    <row r="40" spans="2:193" s="10" customFormat="1" x14ac:dyDescent="0.25">
      <c r="B40" s="10" t="s">
        <v>18</v>
      </c>
      <c r="E40" s="14">
        <f t="shared" si="131"/>
        <v>0.30823054172978437</v>
      </c>
      <c r="F40" s="14">
        <f t="shared" si="131"/>
        <v>0.20425057241824685</v>
      </c>
      <c r="G40" s="14">
        <f t="shared" si="131"/>
        <v>0.16685046316718122</v>
      </c>
      <c r="H40" s="14">
        <f t="shared" si="131"/>
        <v>2.4132215288611647E-2</v>
      </c>
      <c r="I40" s="14">
        <f t="shared" si="131"/>
        <v>-1.8476514507135389E-2</v>
      </c>
      <c r="J40" s="14">
        <f t="shared" si="131"/>
        <v>2.0000000000000018E-2</v>
      </c>
      <c r="K40" s="14">
        <f t="shared" si="131"/>
        <v>5.0000000000000044E-2</v>
      </c>
      <c r="L40" s="14">
        <f t="shared" si="131"/>
        <v>2.0000000000000018E-2</v>
      </c>
      <c r="P40" s="10">
        <f t="shared" si="132"/>
        <v>0.13934802571166216</v>
      </c>
      <c r="Q40" s="10">
        <f t="shared" si="132"/>
        <v>-4.432802740278019E-3</v>
      </c>
      <c r="R40" s="10">
        <f t="shared" ref="R40:S43" si="137">R19/Q19-1</f>
        <v>9.5729609390811543E-2</v>
      </c>
      <c r="S40" s="10">
        <f t="shared" si="137"/>
        <v>0.14231621721462884</v>
      </c>
      <c r="T40" s="10">
        <f t="shared" ref="T40:V40" si="138">T19/S19-1</f>
        <v>3.2823995472552436E-2</v>
      </c>
      <c r="U40" s="10">
        <f t="shared" si="138"/>
        <v>0.21111545988258307</v>
      </c>
      <c r="V40" s="10">
        <f t="shared" si="138"/>
        <v>0.19279989658738361</v>
      </c>
      <c r="W40" s="10">
        <f t="shared" ref="W40" si="139">W19/V19-1</f>
        <v>0.20493091303169875</v>
      </c>
      <c r="X40" s="10">
        <f t="shared" ref="X40:Y43" si="140">X19/W19-1</f>
        <v>-4.6319197733507234E-2</v>
      </c>
      <c r="Y40" s="10">
        <f t="shared" si="140"/>
        <v>0.45687744612627901</v>
      </c>
      <c r="Z40" s="10">
        <f t="shared" ref="Z40:AQ40" si="141">Z19/Y19-1</f>
        <v>0.25090626618332479</v>
      </c>
      <c r="AA40" s="10">
        <f t="shared" si="141"/>
        <v>9.1104326226454146E-2</v>
      </c>
      <c r="AB40" s="10">
        <f t="shared" si="141"/>
        <v>6.9102895491957028E-4</v>
      </c>
      <c r="AC40" s="10">
        <f t="shared" si="141"/>
        <v>3.4766764601472877E-2</v>
      </c>
      <c r="AD40" s="10">
        <f t="shared" si="141"/>
        <v>0.10000000000000009</v>
      </c>
      <c r="AE40" s="10">
        <f t="shared" si="141"/>
        <v>0.10000000000000009</v>
      </c>
      <c r="AF40" s="10">
        <f t="shared" si="141"/>
        <v>0.10000000000000009</v>
      </c>
      <c r="AG40" s="10">
        <f t="shared" si="141"/>
        <v>0.10000000000000009</v>
      </c>
      <c r="AH40" s="10">
        <f t="shared" si="141"/>
        <v>0.10000000000000009</v>
      </c>
      <c r="AI40" s="10">
        <f t="shared" si="141"/>
        <v>3.0000000000000027E-2</v>
      </c>
      <c r="AJ40" s="10">
        <f t="shared" si="141"/>
        <v>3.0000000000000027E-2</v>
      </c>
      <c r="AK40" s="10">
        <f t="shared" si="141"/>
        <v>3.0000000000000027E-2</v>
      </c>
      <c r="AL40" s="10">
        <f t="shared" si="141"/>
        <v>3.0000000000000027E-2</v>
      </c>
      <c r="AM40" s="10">
        <f t="shared" si="141"/>
        <v>3.0000000000000027E-2</v>
      </c>
      <c r="AN40" s="10">
        <f t="shared" si="141"/>
        <v>3.0000000000000027E-2</v>
      </c>
      <c r="AO40" s="10">
        <f t="shared" si="141"/>
        <v>3.0000000000000027E-2</v>
      </c>
      <c r="AP40" s="10">
        <f t="shared" si="141"/>
        <v>3.0000000000000027E-2</v>
      </c>
      <c r="AQ40" s="10">
        <f t="shared" si="141"/>
        <v>3.0000000000000027E-2</v>
      </c>
      <c r="AS40" s="15" t="s">
        <v>60</v>
      </c>
      <c r="AT40" s="41">
        <v>2.7E-2</v>
      </c>
    </row>
    <row r="41" spans="2:193" s="10" customFormat="1" x14ac:dyDescent="0.25">
      <c r="B41" s="10" t="s">
        <v>19</v>
      </c>
      <c r="E41" s="14">
        <f t="shared" si="131"/>
        <v>0.1960330578512397</v>
      </c>
      <c r="F41" s="14">
        <f t="shared" si="131"/>
        <v>0.14540887524420887</v>
      </c>
      <c r="G41" s="14">
        <f t="shared" si="131"/>
        <v>0.11332227750138202</v>
      </c>
      <c r="H41" s="14">
        <f t="shared" si="131"/>
        <v>3.3869395711501049E-2</v>
      </c>
      <c r="I41" s="14">
        <f t="shared" si="131"/>
        <v>2.6812313803376453E-2</v>
      </c>
      <c r="J41" s="14">
        <f t="shared" si="131"/>
        <v>5.0000000000000044E-2</v>
      </c>
      <c r="K41" s="14">
        <f t="shared" si="131"/>
        <v>5.0000000000000044E-2</v>
      </c>
      <c r="L41" s="14">
        <f t="shared" si="131"/>
        <v>5.0000000000000044E-2</v>
      </c>
      <c r="P41" s="10">
        <f t="shared" si="132"/>
        <v>0.13082942097026606</v>
      </c>
      <c r="Q41" s="10">
        <f t="shared" si="132"/>
        <v>2.8784943260448337E-2</v>
      </c>
      <c r="R41" s="10">
        <f t="shared" si="137"/>
        <v>5.3537799300511058E-2</v>
      </c>
      <c r="S41" s="10">
        <f t="shared" si="137"/>
        <v>0.19279877425944836</v>
      </c>
      <c r="T41" s="10">
        <f t="shared" ref="T41:V41" si="142">T20/S20-1</f>
        <v>6.037251123956322E-2</v>
      </c>
      <c r="U41" s="10">
        <f t="shared" si="142"/>
        <v>0.12255198869372097</v>
      </c>
      <c r="V41" s="10">
        <f t="shared" si="142"/>
        <v>9.568345323741001E-2</v>
      </c>
      <c r="W41" s="10">
        <f t="shared" ref="W41" si="143">W20/V20-1</f>
        <v>0.12196323046618507</v>
      </c>
      <c r="X41" s="10">
        <f t="shared" si="140"/>
        <v>-0.23218727139722017</v>
      </c>
      <c r="Y41" s="10">
        <f t="shared" si="140"/>
        <v>0.25914634146341453</v>
      </c>
      <c r="Z41" s="10">
        <f t="shared" ref="Z41:AA41" si="144">Z20/Y20-1</f>
        <v>0.16858353510895885</v>
      </c>
      <c r="AA41" s="10">
        <f t="shared" si="144"/>
        <v>7.1095571095571186E-2</v>
      </c>
      <c r="AB41" s="10">
        <f t="shared" ref="AB41:AQ41" si="145">AB20/AA20-1</f>
        <v>3.8707532341917705E-2</v>
      </c>
      <c r="AC41" s="10">
        <f t="shared" si="145"/>
        <v>4.9999999999999822E-2</v>
      </c>
      <c r="AD41" s="10">
        <f t="shared" si="145"/>
        <v>0.10000000000000009</v>
      </c>
      <c r="AE41" s="10">
        <f t="shared" si="145"/>
        <v>0.10000000000000009</v>
      </c>
      <c r="AF41" s="10">
        <f t="shared" si="145"/>
        <v>0.10000000000000009</v>
      </c>
      <c r="AG41" s="10">
        <f t="shared" si="145"/>
        <v>0.10000000000000009</v>
      </c>
      <c r="AH41" s="10">
        <f t="shared" si="145"/>
        <v>0.10000000000000009</v>
      </c>
      <c r="AI41" s="10">
        <f t="shared" si="145"/>
        <v>3.0000000000000027E-2</v>
      </c>
      <c r="AJ41" s="10">
        <f t="shared" si="145"/>
        <v>3.0000000000000027E-2</v>
      </c>
      <c r="AK41" s="10">
        <f t="shared" si="145"/>
        <v>3.0000000000000027E-2</v>
      </c>
      <c r="AL41" s="10">
        <f t="shared" si="145"/>
        <v>3.0000000000000027E-2</v>
      </c>
      <c r="AM41" s="10">
        <f t="shared" si="145"/>
        <v>3.0000000000000027E-2</v>
      </c>
      <c r="AN41" s="10">
        <f t="shared" si="145"/>
        <v>3.0000000000000027E-2</v>
      </c>
      <c r="AO41" s="10">
        <f t="shared" si="145"/>
        <v>3.0000000000000027E-2</v>
      </c>
      <c r="AP41" s="10">
        <f t="shared" si="145"/>
        <v>3.0000000000000027E-2</v>
      </c>
      <c r="AQ41" s="10">
        <f t="shared" si="145"/>
        <v>3.0000000000000027E-2</v>
      </c>
      <c r="AS41" s="15" t="s">
        <v>61</v>
      </c>
      <c r="AT41" s="41">
        <v>0.08</v>
      </c>
    </row>
    <row r="42" spans="2:193" s="10" customFormat="1" x14ac:dyDescent="0.25">
      <c r="B42" s="10" t="s">
        <v>20</v>
      </c>
      <c r="E42" s="14">
        <f t="shared" si="131"/>
        <v>0.22023365647526716</v>
      </c>
      <c r="F42" s="14">
        <f t="shared" si="131"/>
        <v>0.14794575996761794</v>
      </c>
      <c r="G42" s="14">
        <f t="shared" si="131"/>
        <v>0.10552047260134456</v>
      </c>
      <c r="H42" s="14">
        <f t="shared" si="131"/>
        <v>-3.4732016925246856E-2</v>
      </c>
      <c r="I42" s="14">
        <f t="shared" si="131"/>
        <v>-5.1041090842085857E-2</v>
      </c>
      <c r="J42" s="14">
        <f t="shared" si="131"/>
        <v>-5.0000000000000044E-2</v>
      </c>
      <c r="K42" s="14">
        <f t="shared" si="131"/>
        <v>5.0000000000000044E-2</v>
      </c>
      <c r="L42" s="14">
        <f t="shared" si="131"/>
        <v>5.0000000000000044E-2</v>
      </c>
      <c r="P42" s="10">
        <f t="shared" si="132"/>
        <v>0.45510518214468965</v>
      </c>
      <c r="Q42" s="10">
        <f t="shared" si="132"/>
        <v>-1.833568406205921E-2</v>
      </c>
      <c r="R42" s="10">
        <f t="shared" si="137"/>
        <v>-7.1839080459767946E-4</v>
      </c>
      <c r="S42" s="10">
        <f t="shared" si="137"/>
        <v>0.18907260963335726</v>
      </c>
      <c r="T42" s="10">
        <f t="shared" ref="T42:V42" si="146">T21/S21-1</f>
        <v>4.8367593712212775E-2</v>
      </c>
      <c r="U42" s="10">
        <f t="shared" si="146"/>
        <v>9.7174163783160239E-2</v>
      </c>
      <c r="V42" s="10">
        <f t="shared" si="146"/>
        <v>8.3574244415243193E-2</v>
      </c>
      <c r="W42" s="10">
        <f t="shared" ref="W42" si="147">W21/V21-1</f>
        <v>6.8396798447732277E-2</v>
      </c>
      <c r="X42" s="10">
        <f t="shared" si="140"/>
        <v>-0.23813847900113505</v>
      </c>
      <c r="Y42" s="10">
        <f t="shared" si="140"/>
        <v>1.6710369487485099</v>
      </c>
      <c r="Z42" s="10">
        <f t="shared" ref="Z42:AA42" si="148">Z21/Y21-1</f>
        <v>0.18038821954484607</v>
      </c>
      <c r="AA42" s="10">
        <f t="shared" si="148"/>
        <v>3.0337397221434692E-2</v>
      </c>
      <c r="AB42" s="10">
        <f t="shared" ref="AB42:AQ42" si="149">AB21/AA21-1</f>
        <v>-5.051825353146211E-2</v>
      </c>
      <c r="AC42" s="10">
        <f t="shared" si="149"/>
        <v>5.0000000000000044E-2</v>
      </c>
      <c r="AD42" s="10">
        <f t="shared" si="149"/>
        <v>0.10000000000000009</v>
      </c>
      <c r="AE42" s="10">
        <f t="shared" si="149"/>
        <v>0.10000000000000009</v>
      </c>
      <c r="AF42" s="10">
        <f t="shared" si="149"/>
        <v>0.10000000000000009</v>
      </c>
      <c r="AG42" s="10">
        <f t="shared" si="149"/>
        <v>0.10000000000000009</v>
      </c>
      <c r="AH42" s="10">
        <f t="shared" si="149"/>
        <v>0.10000000000000009</v>
      </c>
      <c r="AI42" s="10">
        <f t="shared" si="149"/>
        <v>3.0000000000000027E-2</v>
      </c>
      <c r="AJ42" s="10">
        <f t="shared" si="149"/>
        <v>3.0000000000000027E-2</v>
      </c>
      <c r="AK42" s="10">
        <f t="shared" si="149"/>
        <v>3.0000000000000027E-2</v>
      </c>
      <c r="AL42" s="10">
        <f t="shared" si="149"/>
        <v>3.0000000000000027E-2</v>
      </c>
      <c r="AM42" s="10">
        <f t="shared" si="149"/>
        <v>3.0000000000000027E-2</v>
      </c>
      <c r="AN42" s="10">
        <f t="shared" si="149"/>
        <v>3.0000000000000027E-2</v>
      </c>
      <c r="AO42" s="10">
        <f t="shared" si="149"/>
        <v>3.0000000000000027E-2</v>
      </c>
      <c r="AP42" s="10">
        <f t="shared" si="149"/>
        <v>3.0000000000000027E-2</v>
      </c>
      <c r="AQ42" s="10">
        <f t="shared" si="149"/>
        <v>3.0000000000000027E-2</v>
      </c>
      <c r="AS42" s="15" t="s">
        <v>25</v>
      </c>
      <c r="AT42" s="2">
        <f>NPV(AT41,AB35:GK35)+I55</f>
        <v>435196.4681138306</v>
      </c>
    </row>
    <row r="43" spans="2:193" s="10" customFormat="1" x14ac:dyDescent="0.25">
      <c r="B43" s="10" t="s">
        <v>0</v>
      </c>
      <c r="E43" s="14">
        <f t="shared" si="131"/>
        <v>0.30383480825958697</v>
      </c>
      <c r="F43" s="14">
        <f t="shared" si="131"/>
        <v>0.2328684960263907</v>
      </c>
      <c r="G43" s="14">
        <f t="shared" si="131"/>
        <v>0.26018099547511309</v>
      </c>
      <c r="H43" s="14">
        <f t="shared" si="131"/>
        <v>0.15908538068596445</v>
      </c>
      <c r="I43" s="14">
        <f t="shared" si="131"/>
        <v>3.3153800119688714E-2</v>
      </c>
      <c r="J43" s="14">
        <f t="shared" si="131"/>
        <v>5.0000000000000044E-2</v>
      </c>
      <c r="K43" s="14">
        <f t="shared" si="131"/>
        <v>5.0000000000000044E-2</v>
      </c>
      <c r="L43" s="14">
        <f t="shared" si="131"/>
        <v>5.0000000000000044E-2</v>
      </c>
      <c r="P43" s="10">
        <f t="shared" si="132"/>
        <v>0.22420758234928528</v>
      </c>
      <c r="Q43" s="10">
        <f t="shared" si="132"/>
        <v>0.13440791978677491</v>
      </c>
      <c r="R43" s="10">
        <f t="shared" si="137"/>
        <v>6.6681584247035186E-2</v>
      </c>
      <c r="S43" s="10">
        <f t="shared" si="137"/>
        <v>0.17400881057268713</v>
      </c>
      <c r="T43" s="10">
        <f t="shared" ref="T43:V43" si="150">T22/S22-1</f>
        <v>6.9686411149825878E-2</v>
      </c>
      <c r="U43" s="10">
        <f t="shared" si="150"/>
        <v>0.11175144074166865</v>
      </c>
      <c r="V43" s="10">
        <f t="shared" si="150"/>
        <v>2.5167154984599094E-2</v>
      </c>
      <c r="W43" s="10">
        <f t="shared" ref="W43" si="151">W22/V22-1</f>
        <v>8.3907372123699142E-2</v>
      </c>
      <c r="X43" s="10">
        <f t="shared" si="140"/>
        <v>-0.31343384490568593</v>
      </c>
      <c r="Y43" s="10">
        <f t="shared" si="140"/>
        <v>0.15745937961595269</v>
      </c>
      <c r="Z43" s="10">
        <f t="shared" ref="Z43:AA43" si="152">Z22/Y22-1</f>
        <v>0.26356984856219157</v>
      </c>
      <c r="AA43" s="10">
        <f t="shared" si="152"/>
        <v>0.20421492054942103</v>
      </c>
      <c r="AB43" s="10">
        <f t="shared" ref="AB43:AQ43" si="153">AB22/AA22-1</f>
        <v>4.2130276768241437E-2</v>
      </c>
      <c r="AC43" s="10">
        <f t="shared" si="153"/>
        <v>5.0000000000000266E-2</v>
      </c>
      <c r="AD43" s="10">
        <f t="shared" si="153"/>
        <v>0.10000000000000009</v>
      </c>
      <c r="AE43" s="10">
        <f t="shared" si="153"/>
        <v>0.10000000000000009</v>
      </c>
      <c r="AF43" s="10">
        <f t="shared" si="153"/>
        <v>0.10000000000000009</v>
      </c>
      <c r="AG43" s="10">
        <f t="shared" si="153"/>
        <v>0.10000000000000009</v>
      </c>
      <c r="AH43" s="10">
        <f t="shared" si="153"/>
        <v>0.10000000000000009</v>
      </c>
      <c r="AI43" s="10">
        <f t="shared" si="153"/>
        <v>3.0000000000000027E-2</v>
      </c>
      <c r="AJ43" s="10">
        <f t="shared" si="153"/>
        <v>3.0000000000000027E-2</v>
      </c>
      <c r="AK43" s="10">
        <f t="shared" si="153"/>
        <v>3.0000000000000027E-2</v>
      </c>
      <c r="AL43" s="10">
        <f t="shared" si="153"/>
        <v>3.0000000000000027E-2</v>
      </c>
      <c r="AM43" s="10">
        <f t="shared" si="153"/>
        <v>3.0000000000000027E-2</v>
      </c>
      <c r="AN43" s="10">
        <f t="shared" si="153"/>
        <v>3.0000000000000027E-2</v>
      </c>
      <c r="AO43" s="10">
        <f t="shared" si="153"/>
        <v>3.0000000000000027E-2</v>
      </c>
      <c r="AP43" s="10">
        <f t="shared" si="153"/>
        <v>3.0000000000000027E-2</v>
      </c>
      <c r="AQ43" s="10">
        <f t="shared" si="153"/>
        <v>3.0000000000000027E-2</v>
      </c>
      <c r="AS43" s="15" t="s">
        <v>22</v>
      </c>
      <c r="AT43" s="2">
        <f>AT42/AQ36</f>
        <v>863.66397131299095</v>
      </c>
    </row>
    <row r="44" spans="2:193" s="16" customFormat="1" x14ac:dyDescent="0.25">
      <c r="B44" s="16" t="s">
        <v>36</v>
      </c>
      <c r="E44" s="17">
        <f t="shared" ref="E44" si="154">E25/C25-1</f>
        <v>0.28131868131868143</v>
      </c>
      <c r="F44" s="17">
        <f t="shared" ref="F44" si="155">F25/D25-1</f>
        <v>0.19423347398030932</v>
      </c>
      <c r="G44" s="17">
        <f t="shared" ref="G44" si="156">G25/E25-1</f>
        <v>0.15004492362982935</v>
      </c>
      <c r="H44" s="17">
        <f>H25/F25-1</f>
        <v>3.4342244729713922E-2</v>
      </c>
      <c r="I44" s="17">
        <f t="shared" ref="I44:J44" si="157">I25/G25-1</f>
        <v>-1.3328598484848464E-2</v>
      </c>
      <c r="J44" s="17">
        <f t="shared" si="157"/>
        <v>1.0587753057181404E-2</v>
      </c>
      <c r="K44" s="17">
        <f t="shared" ref="K44" si="158">K25/I25-1</f>
        <v>4.8771744607337242E-2</v>
      </c>
      <c r="L44" s="17">
        <f t="shared" ref="L44" si="159">L25/J25-1</f>
        <v>3.3734211186909446E-2</v>
      </c>
      <c r="P44" s="16">
        <f t="shared" ref="P44" si="160">P25/O25-1</f>
        <v>0.18783549600574845</v>
      </c>
      <c r="Q44" s="16">
        <f>Q25/P25-1</f>
        <v>3.7220225598690426E-2</v>
      </c>
      <c r="R44" s="16">
        <f t="shared" ref="R44:Y44" si="161">R25/Q25-1</f>
        <v>5.1082369892620605E-2</v>
      </c>
      <c r="S44" s="16">
        <f t="shared" si="161"/>
        <v>0.16404465043410155</v>
      </c>
      <c r="T44" s="16">
        <f t="shared" si="161"/>
        <v>5.4284432480933065E-2</v>
      </c>
      <c r="U44" s="16">
        <f t="shared" si="161"/>
        <v>0.13393617021276594</v>
      </c>
      <c r="V44" s="16">
        <f t="shared" si="161"/>
        <v>9.827375926447135E-2</v>
      </c>
      <c r="W44" s="16">
        <f t="shared" si="161"/>
        <v>0.14615811728526884</v>
      </c>
      <c r="X44" s="16">
        <f t="shared" si="161"/>
        <v>-0.16804546301471956</v>
      </c>
      <c r="Y44" s="16">
        <f t="shared" si="161"/>
        <v>0.43815368076862771</v>
      </c>
      <c r="Z44" s="16">
        <f>Z25/Y25-1</f>
        <v>0.23310752939344392</v>
      </c>
      <c r="AA44" s="16">
        <f t="shared" ref="AA44" si="162">AA25/Z25-1</f>
        <v>8.8010204081632626E-2</v>
      </c>
      <c r="AB44" s="16">
        <f>AB25/AA25-1</f>
        <v>-1.1382076073961356E-3</v>
      </c>
      <c r="AC44" s="16">
        <f t="shared" ref="AC44:AQ44" si="163">AC25/AB25-1</f>
        <v>4.1016992168026567E-2</v>
      </c>
      <c r="AD44" s="16">
        <f t="shared" si="163"/>
        <v>9.6306132442673942E-2</v>
      </c>
      <c r="AE44" s="16">
        <f t="shared" si="163"/>
        <v>9.6467814387743323E-2</v>
      </c>
      <c r="AF44" s="16">
        <f t="shared" si="163"/>
        <v>9.6622822945924058E-2</v>
      </c>
      <c r="AG44" s="16">
        <f t="shared" si="163"/>
        <v>9.6771396478632976E-2</v>
      </c>
      <c r="AH44" s="16">
        <f t="shared" si="163"/>
        <v>9.6913768204705431E-2</v>
      </c>
      <c r="AI44" s="16">
        <f t="shared" si="163"/>
        <v>2.8910770598951752E-2</v>
      </c>
      <c r="AJ44" s="16">
        <f t="shared" si="163"/>
        <v>2.893078999025489E-2</v>
      </c>
      <c r="AK44" s="16">
        <f t="shared" si="163"/>
        <v>2.8950461857738086E-2</v>
      </c>
      <c r="AL44" s="16">
        <f t="shared" si="163"/>
        <v>2.8969791488532293E-2</v>
      </c>
      <c r="AM44" s="16">
        <f t="shared" si="163"/>
        <v>2.8988784116706245E-2</v>
      </c>
      <c r="AN44" s="16">
        <f t="shared" si="163"/>
        <v>2.9007444922732661E-2</v>
      </c>
      <c r="AO44" s="16">
        <f t="shared" si="163"/>
        <v>2.9025779033002408E-2</v>
      </c>
      <c r="AP44" s="16">
        <f t="shared" si="163"/>
        <v>2.9043791519399731E-2</v>
      </c>
      <c r="AQ44" s="16">
        <f t="shared" si="163"/>
        <v>2.9061487398917896E-2</v>
      </c>
      <c r="AS44" s="15" t="s">
        <v>62</v>
      </c>
      <c r="AT44" s="15">
        <f>AT43/Main!H3-1</f>
        <v>-1.8563668962510271E-2</v>
      </c>
    </row>
    <row r="45" spans="2:193" s="10" customFormat="1" x14ac:dyDescent="0.25">
      <c r="B45" s="15" t="s">
        <v>13</v>
      </c>
      <c r="C45" s="14">
        <f t="shared" ref="C45:G45" si="164">C27/C25</f>
        <v>0.68222571079713934</v>
      </c>
      <c r="D45" s="14">
        <f t="shared" si="164"/>
        <v>0.68421940928270042</v>
      </c>
      <c r="E45" s="14">
        <f t="shared" si="164"/>
        <v>0.68912848158131179</v>
      </c>
      <c r="F45" s="14">
        <f t="shared" si="164"/>
        <v>0.6803674478859969</v>
      </c>
      <c r="G45" s="14">
        <f t="shared" si="164"/>
        <v>0.69405776515151518</v>
      </c>
      <c r="H45" s="14">
        <f>H27/H25</f>
        <v>0.68225810124564479</v>
      </c>
      <c r="I45" s="14">
        <f t="shared" ref="I45:J45" si="165">I27/I25</f>
        <v>0.6884612616071214</v>
      </c>
      <c r="J45" s="14">
        <f t="shared" si="165"/>
        <v>0.69</v>
      </c>
      <c r="K45" s="14">
        <f t="shared" ref="K45:L45" si="166">K27/K25</f>
        <v>0.69000000000000006</v>
      </c>
      <c r="L45" s="14">
        <f t="shared" si="166"/>
        <v>0.69000000000000006</v>
      </c>
      <c r="O45" s="14">
        <f t="shared" ref="O45:X45" si="167">O27/O25</f>
        <v>0.65797370979331338</v>
      </c>
      <c r="P45" s="14">
        <f t="shared" si="167"/>
        <v>0.64711952460591393</v>
      </c>
      <c r="Q45" s="14">
        <f t="shared" si="167"/>
        <v>0.65504820062437819</v>
      </c>
      <c r="R45" s="14">
        <f t="shared" si="167"/>
        <v>1</v>
      </c>
      <c r="S45" s="14">
        <f t="shared" si="167"/>
        <v>1</v>
      </c>
      <c r="T45" s="14">
        <f t="shared" si="167"/>
        <v>1</v>
      </c>
      <c r="U45" s="14">
        <f t="shared" si="167"/>
        <v>1</v>
      </c>
      <c r="V45" s="14">
        <f t="shared" si="167"/>
        <v>0.66631785760047835</v>
      </c>
      <c r="W45" s="14">
        <f t="shared" si="167"/>
        <v>0.66232532140860811</v>
      </c>
      <c r="X45" s="14">
        <f t="shared" si="167"/>
        <v>0.6445544332713713</v>
      </c>
      <c r="Y45" s="14">
        <f t="shared" ref="Y45:AQ45" si="168">Y27/Y25</f>
        <v>0.68332944016195596</v>
      </c>
      <c r="Z45" s="14">
        <f t="shared" si="168"/>
        <v>0.68443119822186305</v>
      </c>
      <c r="AA45" s="14">
        <f t="shared" si="168"/>
        <v>0.68804336471161776</v>
      </c>
      <c r="AB45" s="14">
        <f t="shared" si="168"/>
        <v>0.68925477840086813</v>
      </c>
      <c r="AC45" s="14">
        <f t="shared" si="168"/>
        <v>0.69000000000000006</v>
      </c>
      <c r="AD45" s="14">
        <f t="shared" si="168"/>
        <v>0.69</v>
      </c>
      <c r="AE45" s="14">
        <f t="shared" si="168"/>
        <v>0.69</v>
      </c>
      <c r="AF45" s="14">
        <f t="shared" si="168"/>
        <v>0.69</v>
      </c>
      <c r="AG45" s="14">
        <f t="shared" si="168"/>
        <v>0.69</v>
      </c>
      <c r="AH45" s="14">
        <f t="shared" si="168"/>
        <v>0.69000000000000006</v>
      </c>
      <c r="AI45" s="14">
        <f t="shared" si="168"/>
        <v>0.69</v>
      </c>
      <c r="AJ45" s="14">
        <f t="shared" si="168"/>
        <v>0.69</v>
      </c>
      <c r="AK45" s="14">
        <f t="shared" si="168"/>
        <v>0.69000000000000006</v>
      </c>
      <c r="AL45" s="14">
        <f t="shared" si="168"/>
        <v>0.69000000000000006</v>
      </c>
      <c r="AM45" s="14">
        <f t="shared" si="168"/>
        <v>0.69000000000000006</v>
      </c>
      <c r="AN45" s="14">
        <f t="shared" si="168"/>
        <v>0.69000000000000006</v>
      </c>
      <c r="AO45" s="14">
        <f t="shared" si="168"/>
        <v>0.69000000000000006</v>
      </c>
      <c r="AP45" s="14">
        <f t="shared" si="168"/>
        <v>0.69</v>
      </c>
      <c r="AQ45" s="14">
        <f t="shared" si="168"/>
        <v>0.69</v>
      </c>
    </row>
    <row r="46" spans="2:193" s="10" customFormat="1" x14ac:dyDescent="0.25">
      <c r="B46" s="15" t="s">
        <v>53</v>
      </c>
      <c r="C46" s="14"/>
      <c r="D46" s="14"/>
      <c r="E46" s="14">
        <f>E28/C28-1</f>
        <v>0.29549163606691153</v>
      </c>
      <c r="F46" s="14">
        <f t="shared" ref="F46:J47" si="169">F28/D28-1</f>
        <v>0.23560460652591164</v>
      </c>
      <c r="G46" s="14">
        <f t="shared" si="169"/>
        <v>0.17431698291473108</v>
      </c>
      <c r="H46" s="14">
        <f t="shared" si="169"/>
        <v>2.608414239482193E-2</v>
      </c>
      <c r="I46" s="14">
        <f t="shared" si="169"/>
        <v>5.6319141803553574E-3</v>
      </c>
      <c r="J46" s="14">
        <f t="shared" si="169"/>
        <v>1.0000000000000009E-2</v>
      </c>
      <c r="K46" s="14">
        <f t="shared" ref="K46:K47" si="170">K28/I28-1</f>
        <v>1.0000000000000009E-2</v>
      </c>
      <c r="L46" s="14">
        <f t="shared" ref="L46:L47" si="171">L28/J28-1</f>
        <v>1.0000000000000009E-2</v>
      </c>
      <c r="P46" s="10">
        <f>P28/O28-1</f>
        <v>0.20825358851674647</v>
      </c>
      <c r="Q46" s="10">
        <f t="shared" ref="Q46:AQ46" si="172">Q28/P28-1</f>
        <v>7.4052074052074035E-2</v>
      </c>
      <c r="R46" s="10">
        <f t="shared" si="172"/>
        <v>-1</v>
      </c>
      <c r="S46" s="10" t="e">
        <f t="shared" si="172"/>
        <v>#DIV/0!</v>
      </c>
      <c r="T46" s="10" t="e">
        <f t="shared" si="172"/>
        <v>#DIV/0!</v>
      </c>
      <c r="U46" s="10" t="e">
        <f t="shared" si="172"/>
        <v>#DIV/0!</v>
      </c>
      <c r="V46" s="10" t="e">
        <f t="shared" si="172"/>
        <v>#DIV/0!</v>
      </c>
      <c r="W46" s="10">
        <f t="shared" si="172"/>
        <v>0.13810194311461554</v>
      </c>
      <c r="X46" s="10">
        <f t="shared" si="172"/>
        <v>-0.16900084129262138</v>
      </c>
      <c r="Y46" s="10">
        <f t="shared" si="172"/>
        <v>0.32848975702715588</v>
      </c>
      <c r="Z46" s="10">
        <f t="shared" si="172"/>
        <v>0.26192397346243501</v>
      </c>
      <c r="AA46" s="10">
        <f t="shared" si="172"/>
        <v>9.2962949806401296E-2</v>
      </c>
      <c r="AB46" s="10">
        <f t="shared" si="172"/>
        <v>7.8825403016120621E-3</v>
      </c>
      <c r="AC46" s="10">
        <f t="shared" si="172"/>
        <v>1.0000000000000009E-2</v>
      </c>
      <c r="AD46" s="10">
        <f t="shared" si="172"/>
        <v>8.0000000000000071E-2</v>
      </c>
      <c r="AE46" s="10">
        <f t="shared" si="172"/>
        <v>8.0000000000000071E-2</v>
      </c>
      <c r="AF46" s="10">
        <f t="shared" si="172"/>
        <v>8.0000000000000071E-2</v>
      </c>
      <c r="AG46" s="10">
        <f t="shared" si="172"/>
        <v>8.0000000000000071E-2</v>
      </c>
      <c r="AH46" s="10">
        <f t="shared" si="172"/>
        <v>8.0000000000000071E-2</v>
      </c>
      <c r="AI46" s="10">
        <f t="shared" si="172"/>
        <v>2.0000000000000018E-2</v>
      </c>
      <c r="AJ46" s="10">
        <f t="shared" si="172"/>
        <v>2.0000000000000018E-2</v>
      </c>
      <c r="AK46" s="10">
        <f t="shared" si="172"/>
        <v>2.0000000000000018E-2</v>
      </c>
      <c r="AL46" s="10">
        <f t="shared" si="172"/>
        <v>2.0000000000000018E-2</v>
      </c>
      <c r="AM46" s="10">
        <f t="shared" si="172"/>
        <v>2.0000000000000018E-2</v>
      </c>
      <c r="AN46" s="10">
        <f t="shared" si="172"/>
        <v>2.0000000000000018E-2</v>
      </c>
      <c r="AO46" s="10">
        <f t="shared" si="172"/>
        <v>2.0000000000000018E-2</v>
      </c>
      <c r="AP46" s="10">
        <f t="shared" si="172"/>
        <v>2.0000000000000018E-2</v>
      </c>
      <c r="AQ46" s="10">
        <f t="shared" si="172"/>
        <v>2.0000000000000018E-2</v>
      </c>
    </row>
    <row r="47" spans="2:193" s="10" customFormat="1" x14ac:dyDescent="0.25">
      <c r="B47" s="15" t="s">
        <v>52</v>
      </c>
      <c r="C47" s="14"/>
      <c r="D47" s="14"/>
      <c r="E47" s="14">
        <f t="shared" ref="E47" si="173">E29/C29-1</f>
        <v>0.13292043830395417</v>
      </c>
      <c r="F47" s="14">
        <f t="shared" si="169"/>
        <v>0.14427645788336929</v>
      </c>
      <c r="G47" s="14">
        <f t="shared" si="169"/>
        <v>0.18713204373423054</v>
      </c>
      <c r="H47" s="14">
        <f t="shared" si="169"/>
        <v>9.1355228388070975E-2</v>
      </c>
      <c r="I47" s="14">
        <f t="shared" si="169"/>
        <v>7.5097414098476811E-2</v>
      </c>
      <c r="J47" s="14">
        <f t="shared" si="169"/>
        <v>0.10000000000000009</v>
      </c>
      <c r="K47" s="14">
        <f t="shared" si="170"/>
        <v>5.0000000000000044E-2</v>
      </c>
      <c r="L47" s="14">
        <f t="shared" si="171"/>
        <v>5.0000000000000044E-2</v>
      </c>
      <c r="P47" s="10">
        <f t="shared" ref="P47:AB47" si="174">P29/O29-1</f>
        <v>0.11316872427983538</v>
      </c>
      <c r="Q47" s="10">
        <f t="shared" si="174"/>
        <v>2.7726432532347411E-2</v>
      </c>
      <c r="R47" s="10">
        <f t="shared" si="174"/>
        <v>-1</v>
      </c>
      <c r="S47" s="10" t="e">
        <f t="shared" si="174"/>
        <v>#DIV/0!</v>
      </c>
      <c r="T47" s="10" t="e">
        <f t="shared" si="174"/>
        <v>#DIV/0!</v>
      </c>
      <c r="U47" s="10" t="e">
        <f t="shared" si="174"/>
        <v>#DIV/0!</v>
      </c>
      <c r="V47" s="10" t="e">
        <f t="shared" si="174"/>
        <v>#DIV/0!</v>
      </c>
      <c r="W47" s="10">
        <f t="shared" si="174"/>
        <v>0.11482977495672242</v>
      </c>
      <c r="X47" s="10">
        <f t="shared" si="174"/>
        <v>-5.7712215320910976E-2</v>
      </c>
      <c r="Y47" s="10">
        <f t="shared" si="174"/>
        <v>0.21230431200219724</v>
      </c>
      <c r="Z47" s="10">
        <f t="shared" si="174"/>
        <v>0.13887630267331219</v>
      </c>
      <c r="AA47" s="10">
        <f t="shared" si="174"/>
        <v>0.13666202506465086</v>
      </c>
      <c r="AB47" s="10">
        <f t="shared" si="174"/>
        <v>8.7696884844242318E-2</v>
      </c>
      <c r="AC47" s="10">
        <f t="shared" ref="AC47:AQ47" si="175">AC29/AB29-1</f>
        <v>5.0000000000000044E-2</v>
      </c>
      <c r="AD47" s="10">
        <f t="shared" si="175"/>
        <v>8.0000000000000071E-2</v>
      </c>
      <c r="AE47" s="10">
        <f t="shared" si="175"/>
        <v>8.0000000000000071E-2</v>
      </c>
      <c r="AF47" s="10">
        <f t="shared" si="175"/>
        <v>8.0000000000000071E-2</v>
      </c>
      <c r="AG47" s="10">
        <f t="shared" si="175"/>
        <v>8.0000000000000071E-2</v>
      </c>
      <c r="AH47" s="10">
        <f t="shared" si="175"/>
        <v>8.0000000000000071E-2</v>
      </c>
      <c r="AI47" s="10">
        <f t="shared" si="175"/>
        <v>2.0000000000000018E-2</v>
      </c>
      <c r="AJ47" s="10">
        <f t="shared" si="175"/>
        <v>2.0000000000000018E-2</v>
      </c>
      <c r="AK47" s="10">
        <f t="shared" si="175"/>
        <v>2.0000000000000018E-2</v>
      </c>
      <c r="AL47" s="10">
        <f t="shared" si="175"/>
        <v>2.0000000000000018E-2</v>
      </c>
      <c r="AM47" s="10">
        <f t="shared" si="175"/>
        <v>2.0000000000000018E-2</v>
      </c>
      <c r="AN47" s="10">
        <f t="shared" si="175"/>
        <v>2.0000000000000018E-2</v>
      </c>
      <c r="AO47" s="10">
        <f t="shared" si="175"/>
        <v>2.0000000000000018E-2</v>
      </c>
      <c r="AP47" s="10">
        <f t="shared" si="175"/>
        <v>2.0000000000000018E-2</v>
      </c>
      <c r="AQ47" s="10">
        <f t="shared" si="175"/>
        <v>2.0000000000000018E-2</v>
      </c>
    </row>
    <row r="48" spans="2:193" s="10" customFormat="1" x14ac:dyDescent="0.25">
      <c r="B48" s="43" t="s">
        <v>161</v>
      </c>
      <c r="C48" s="14">
        <f>C28/C25</f>
        <v>0.34201988487702772</v>
      </c>
      <c r="D48" s="14">
        <f t="shared" ref="D48:J48" si="176">D28/D25</f>
        <v>0.35172995780590716</v>
      </c>
      <c r="E48" s="14">
        <f t="shared" si="176"/>
        <v>0.34580304391625144</v>
      </c>
      <c r="F48" s="14">
        <f t="shared" si="176"/>
        <v>0.36391473324696738</v>
      </c>
      <c r="G48" s="14">
        <f t="shared" si="176"/>
        <v>0.35310132575757575</v>
      </c>
      <c r="H48" s="14">
        <f t="shared" si="176"/>
        <v>0.36100926832600827</v>
      </c>
      <c r="I48" s="14">
        <f t="shared" si="176"/>
        <v>0.35988674808647453</v>
      </c>
      <c r="J48" s="14">
        <f t="shared" si="176"/>
        <v>0.36079930704309393</v>
      </c>
      <c r="K48" s="14">
        <f t="shared" ref="K48:L48" si="177">K28/K25</f>
        <v>0.34658219716190886</v>
      </c>
      <c r="L48" s="14">
        <f t="shared" si="177"/>
        <v>0.3525154688409905</v>
      </c>
      <c r="O48" s="14">
        <f t="shared" ref="O48:X48" si="178">O28/O25</f>
        <v>0.35335390337715034</v>
      </c>
      <c r="P48" s="14">
        <f t="shared" si="178"/>
        <v>0.35942781909404692</v>
      </c>
      <c r="Q48" s="14">
        <f t="shared" si="178"/>
        <v>0.37219115578579026</v>
      </c>
      <c r="R48" s="14">
        <f t="shared" si="178"/>
        <v>0</v>
      </c>
      <c r="S48" s="14">
        <f t="shared" si="178"/>
        <v>0</v>
      </c>
      <c r="T48" s="14">
        <f t="shared" si="178"/>
        <v>0</v>
      </c>
      <c r="U48" s="14">
        <f t="shared" si="178"/>
        <v>0</v>
      </c>
      <c r="V48" s="14">
        <f t="shared" si="178"/>
        <v>0.37916969205142442</v>
      </c>
      <c r="W48" s="14">
        <f t="shared" si="178"/>
        <v>0.37650456493385503</v>
      </c>
      <c r="X48" s="14">
        <f t="shared" si="178"/>
        <v>0.37607220442991196</v>
      </c>
      <c r="Y48" s="14">
        <f t="shared" ref="Y48:Z48" si="179">Y28/Y25</f>
        <v>0.3473954683485167</v>
      </c>
      <c r="Z48" s="14">
        <f t="shared" si="179"/>
        <v>0.35551374014952514</v>
      </c>
      <c r="AA48" s="14">
        <f t="shared" ref="AA48:AB48" si="180">AA28/AA25</f>
        <v>0.35713207897577565</v>
      </c>
      <c r="AB48" s="14">
        <f t="shared" si="180"/>
        <v>0.3603573484566952</v>
      </c>
      <c r="AC48" s="14">
        <f t="shared" ref="AC48:AQ48" si="181">AC28/AC25</f>
        <v>0.349620539030084</v>
      </c>
      <c r="AD48" s="14">
        <f t="shared" si="181"/>
        <v>0.34442038676841485</v>
      </c>
      <c r="AE48" s="14">
        <f t="shared" si="181"/>
        <v>0.33924754819875363</v>
      </c>
      <c r="AF48" s="14">
        <f t="shared" si="181"/>
        <v>0.33410516760029263</v>
      </c>
      <c r="AG48" s="14">
        <f t="shared" si="181"/>
        <v>0.32899616288939731</v>
      </c>
      <c r="AH48" s="14">
        <f t="shared" si="181"/>
        <v>0.32392323464230627</v>
      </c>
      <c r="AI48" s="14">
        <f t="shared" si="181"/>
        <v>0.32111793245474357</v>
      </c>
      <c r="AJ48" s="14">
        <f t="shared" si="181"/>
        <v>0.31833073156158598</v>
      </c>
      <c r="AK48" s="14">
        <f t="shared" si="181"/>
        <v>0.31556168953613828</v>
      </c>
      <c r="AL48" s="14">
        <f t="shared" si="181"/>
        <v>0.31281085799538588</v>
      </c>
      <c r="AM48" s="14">
        <f t="shared" si="181"/>
        <v>0.31007828275716703</v>
      </c>
      <c r="AN48" s="14">
        <f t="shared" si="181"/>
        <v>0.30736400399518937</v>
      </c>
      <c r="AO48" s="14">
        <f t="shared" si="181"/>
        <v>0.30466805639184907</v>
      </c>
      <c r="AP48" s="14">
        <f t="shared" si="181"/>
        <v>0.30199046928881601</v>
      </c>
      <c r="AQ48" s="14">
        <f t="shared" si="181"/>
        <v>0.29933126683535455</v>
      </c>
    </row>
    <row r="49" spans="2:44" s="10" customFormat="1" x14ac:dyDescent="0.25">
      <c r="B49" s="43" t="s">
        <v>162</v>
      </c>
      <c r="C49" s="14">
        <f>C29/C25</f>
        <v>7.322518751090179E-2</v>
      </c>
      <c r="D49" s="14">
        <f t="shared" ref="D49:J49" si="182">D29/D25</f>
        <v>6.5119549929676515E-2</v>
      </c>
      <c r="E49" s="14">
        <f t="shared" si="182"/>
        <v>6.4744479838819466E-2</v>
      </c>
      <c r="F49" s="14">
        <f t="shared" si="182"/>
        <v>6.2395477564480037E-2</v>
      </c>
      <c r="G49" s="14">
        <f t="shared" si="182"/>
        <v>6.6832386363636365E-2</v>
      </c>
      <c r="H49" s="14">
        <f t="shared" si="182"/>
        <v>6.5834718648236284E-2</v>
      </c>
      <c r="I49" s="14">
        <f t="shared" si="182"/>
        <v>7.2821940158840609E-2</v>
      </c>
      <c r="J49" s="14">
        <f t="shared" si="182"/>
        <v>7.1659477659395635E-2</v>
      </c>
      <c r="K49" s="14">
        <f t="shared" ref="K49:L49" si="183">K29/K25</f>
        <v>7.2907224627233438E-2</v>
      </c>
      <c r="L49" s="14">
        <f t="shared" si="183"/>
        <v>7.2787038223271913E-2</v>
      </c>
      <c r="O49" s="14">
        <f t="shared" ref="O49:X49" si="184">O29/O25</f>
        <v>8.2167462699184249E-2</v>
      </c>
      <c r="P49" s="14">
        <f t="shared" si="184"/>
        <v>7.7002455253887492E-2</v>
      </c>
      <c r="Q49" s="14">
        <f t="shared" si="184"/>
        <v>7.6297643143847127E-2</v>
      </c>
      <c r="R49" s="14">
        <f t="shared" si="184"/>
        <v>0</v>
      </c>
      <c r="S49" s="14">
        <f t="shared" si="184"/>
        <v>0</v>
      </c>
      <c r="T49" s="14">
        <f t="shared" si="184"/>
        <v>0</v>
      </c>
      <c r="U49" s="14">
        <f t="shared" si="184"/>
        <v>0</v>
      </c>
      <c r="V49" s="14">
        <f t="shared" si="184"/>
        <v>7.4018707555631488E-2</v>
      </c>
      <c r="W49" s="14">
        <f t="shared" si="184"/>
        <v>7.1995528228060365E-2</v>
      </c>
      <c r="X49" s="14">
        <f t="shared" si="184"/>
        <v>8.1543526460773549E-2</v>
      </c>
      <c r="Y49" s="14">
        <f t="shared" ref="Y49:Z49" si="185">Y29/Y25</f>
        <v>6.8737833839445608E-2</v>
      </c>
      <c r="Z49" s="14">
        <f t="shared" si="185"/>
        <v>6.3485047484340265E-2</v>
      </c>
      <c r="AA49" s="14">
        <f t="shared" ref="AA49:AB49" si="186">AA29/AA25</f>
        <v>6.6323865680823657E-2</v>
      </c>
      <c r="AB49" s="14">
        <f t="shared" si="186"/>
        <v>7.2222466252373191E-2</v>
      </c>
      <c r="AC49" s="14">
        <f t="shared" ref="AC49:AQ49" si="187">AC29/AC25</f>
        <v>7.2845678923127363E-2</v>
      </c>
      <c r="AD49" s="14">
        <f t="shared" si="187"/>
        <v>7.1762193888020964E-2</v>
      </c>
      <c r="AE49" s="14">
        <f t="shared" si="187"/>
        <v>7.0684399835611797E-2</v>
      </c>
      <c r="AF49" s="14">
        <f t="shared" si="187"/>
        <v>6.9612951896611333E-2</v>
      </c>
      <c r="AG49" s="14">
        <f t="shared" si="187"/>
        <v>6.854845803758608E-2</v>
      </c>
      <c r="AH49" s="14">
        <f t="shared" si="187"/>
        <v>6.7491480940894799E-2</v>
      </c>
      <c r="AI49" s="14">
        <f t="shared" si="187"/>
        <v>6.6906978259775277E-2</v>
      </c>
      <c r="AJ49" s="14">
        <f t="shared" si="187"/>
        <v>6.6326247099299199E-2</v>
      </c>
      <c r="AK49" s="14">
        <f t="shared" si="187"/>
        <v>6.5749299455233445E-2</v>
      </c>
      <c r="AL49" s="14">
        <f t="shared" si="187"/>
        <v>6.5176146082307554E-2</v>
      </c>
      <c r="AM49" s="14">
        <f t="shared" si="187"/>
        <v>6.4606796526961635E-2</v>
      </c>
      <c r="AN49" s="14">
        <f t="shared" si="187"/>
        <v>6.4041259159645023E-2</v>
      </c>
      <c r="AO49" s="14">
        <f t="shared" si="187"/>
        <v>6.3479541206657122E-2</v>
      </c>
      <c r="AP49" s="14">
        <f t="shared" si="187"/>
        <v>6.2921648781522829E-2</v>
      </c>
      <c r="AQ49" s="14">
        <f t="shared" si="187"/>
        <v>6.2367586915896049E-2</v>
      </c>
    </row>
    <row r="50" spans="2:44" s="10" customFormat="1" x14ac:dyDescent="0.25">
      <c r="B50" s="43" t="s">
        <v>157</v>
      </c>
      <c r="C50" s="14">
        <f t="shared" ref="C50:G50" si="188">C30/C25</f>
        <v>0.41524507238792951</v>
      </c>
      <c r="D50" s="14">
        <f t="shared" si="188"/>
        <v>0.41684950773558366</v>
      </c>
      <c r="E50" s="14">
        <f t="shared" si="188"/>
        <v>0.41054752375507092</v>
      </c>
      <c r="F50" s="14">
        <f t="shared" si="188"/>
        <v>0.42631021081144743</v>
      </c>
      <c r="G50" s="14">
        <f t="shared" si="188"/>
        <v>0.41993371212121211</v>
      </c>
      <c r="H50" s="14">
        <f>H30/H25</f>
        <v>0.42684398697424453</v>
      </c>
      <c r="I50" s="14">
        <f t="shared" ref="I50:J50" si="189">I30/I25</f>
        <v>0.43270868824531517</v>
      </c>
      <c r="J50" s="14">
        <f t="shared" si="189"/>
        <v>0.43245878470248955</v>
      </c>
      <c r="K50" s="14">
        <f t="shared" ref="K50:L50" si="190">K30/K25</f>
        <v>0.41948942178914223</v>
      </c>
      <c r="L50" s="14">
        <f t="shared" si="190"/>
        <v>0.42530250706426237</v>
      </c>
      <c r="O50" s="14">
        <f t="shared" ref="O50:X50" si="191">O30/O25</f>
        <v>0.43552136607633457</v>
      </c>
      <c r="P50" s="14">
        <f t="shared" si="191"/>
        <v>0.43643027434793441</v>
      </c>
      <c r="Q50" s="14">
        <f t="shared" si="191"/>
        <v>0.44848879892963739</v>
      </c>
      <c r="R50" s="14">
        <f t="shared" si="191"/>
        <v>0</v>
      </c>
      <c r="S50" s="14">
        <f t="shared" si="191"/>
        <v>0</v>
      </c>
      <c r="T50" s="14">
        <f t="shared" si="191"/>
        <v>0</v>
      </c>
      <c r="U50" s="14">
        <f t="shared" si="191"/>
        <v>0</v>
      </c>
      <c r="V50" s="14">
        <f t="shared" si="191"/>
        <v>0.45318839960705593</v>
      </c>
      <c r="W50" s="14">
        <f t="shared" si="191"/>
        <v>0.44850009316191541</v>
      </c>
      <c r="X50" s="14">
        <f t="shared" si="191"/>
        <v>0.45761573089068552</v>
      </c>
      <c r="Y50" s="14">
        <f t="shared" ref="Y50:AQ50" si="192">Y30/Y25</f>
        <v>0.4161333021879623</v>
      </c>
      <c r="Z50" s="14">
        <f t="shared" si="192"/>
        <v>0.41899878763386544</v>
      </c>
      <c r="AA50" s="14">
        <f t="shared" si="192"/>
        <v>0.4234559446565993</v>
      </c>
      <c r="AB50" s="14">
        <f t="shared" si="192"/>
        <v>0.43257981470906837</v>
      </c>
      <c r="AC50" s="14">
        <f t="shared" si="192"/>
        <v>0.42246621795321138</v>
      </c>
      <c r="AD50" s="14">
        <f t="shared" si="192"/>
        <v>0.41618258065643582</v>
      </c>
      <c r="AE50" s="14">
        <f t="shared" si="192"/>
        <v>0.40993194803436545</v>
      </c>
      <c r="AF50" s="14">
        <f t="shared" si="192"/>
        <v>0.40371811949690395</v>
      </c>
      <c r="AG50" s="14">
        <f t="shared" si="192"/>
        <v>0.39754462092698339</v>
      </c>
      <c r="AH50" s="14">
        <f t="shared" si="192"/>
        <v>0.39141471558320101</v>
      </c>
      <c r="AI50" s="14">
        <f t="shared" si="192"/>
        <v>0.38802491071451889</v>
      </c>
      <c r="AJ50" s="14">
        <f t="shared" si="192"/>
        <v>0.38465697866088516</v>
      </c>
      <c r="AK50" s="14">
        <f t="shared" si="192"/>
        <v>0.38131098899137172</v>
      </c>
      <c r="AL50" s="14">
        <f t="shared" si="192"/>
        <v>0.37798700407769342</v>
      </c>
      <c r="AM50" s="14">
        <f t="shared" si="192"/>
        <v>0.3746850792841287</v>
      </c>
      <c r="AN50" s="14">
        <f t="shared" si="192"/>
        <v>0.37140526315483441</v>
      </c>
      <c r="AO50" s="14">
        <f t="shared" si="192"/>
        <v>0.36814759759850624</v>
      </c>
      <c r="AP50" s="14">
        <f t="shared" si="192"/>
        <v>0.36491211807033885</v>
      </c>
      <c r="AQ50" s="14">
        <f t="shared" si="192"/>
        <v>0.3616988537512506</v>
      </c>
    </row>
    <row r="51" spans="2:44" s="16" customFormat="1" x14ac:dyDescent="0.25">
      <c r="B51" s="16" t="s">
        <v>163</v>
      </c>
      <c r="C51" s="17">
        <f t="shared" ref="C51:J51" si="193">C31/C25</f>
        <v>0.26698063840920983</v>
      </c>
      <c r="D51" s="17">
        <f t="shared" si="193"/>
        <v>0.26736990154711676</v>
      </c>
      <c r="E51" s="17">
        <f t="shared" si="193"/>
        <v>0.27858095782624087</v>
      </c>
      <c r="F51" s="17">
        <f t="shared" si="193"/>
        <v>0.25405723707454952</v>
      </c>
      <c r="G51" s="17">
        <f t="shared" si="193"/>
        <v>0.27412405303030302</v>
      </c>
      <c r="H51" s="17">
        <f t="shared" si="193"/>
        <v>0.25541411427140026</v>
      </c>
      <c r="I51" s="17">
        <f t="shared" si="193"/>
        <v>0.25575257336180629</v>
      </c>
      <c r="J51" s="17">
        <f t="shared" si="193"/>
        <v>0.25754121529751045</v>
      </c>
      <c r="K51" s="17">
        <f t="shared" ref="K51:L51" si="194">K31/K25</f>
        <v>0.27051057821085778</v>
      </c>
      <c r="L51" s="17">
        <f t="shared" si="194"/>
        <v>0.26469749293573763</v>
      </c>
      <c r="O51" s="17">
        <f t="shared" ref="O51:X51" si="195">O31/O25</f>
        <v>0.22245234371697875</v>
      </c>
      <c r="P51" s="17">
        <f t="shared" si="195"/>
        <v>0.21068925025797958</v>
      </c>
      <c r="Q51" s="17">
        <f t="shared" si="195"/>
        <v>0.20655940169474082</v>
      </c>
      <c r="R51" s="17">
        <f t="shared" si="195"/>
        <v>1</v>
      </c>
      <c r="S51" s="17">
        <f t="shared" si="195"/>
        <v>1</v>
      </c>
      <c r="T51" s="17">
        <f t="shared" si="195"/>
        <v>1</v>
      </c>
      <c r="U51" s="17">
        <f t="shared" si="195"/>
        <v>1</v>
      </c>
      <c r="V51" s="17">
        <f t="shared" si="195"/>
        <v>0.21312945799342245</v>
      </c>
      <c r="W51" s="17">
        <f t="shared" si="195"/>
        <v>0.21382522824669276</v>
      </c>
      <c r="X51" s="17">
        <f t="shared" si="195"/>
        <v>0.18693870238068577</v>
      </c>
      <c r="Y51" s="17">
        <f t="shared" ref="Y51:AQ51" si="196">Y31/Y25</f>
        <v>0.26719613797399361</v>
      </c>
      <c r="Z51" s="17">
        <f t="shared" si="196"/>
        <v>0.2654324105879976</v>
      </c>
      <c r="AA51" s="17">
        <f t="shared" si="196"/>
        <v>0.2645874200550184</v>
      </c>
      <c r="AB51" s="17">
        <f t="shared" si="196"/>
        <v>0.25667496369179976</v>
      </c>
      <c r="AC51" s="17">
        <f t="shared" si="196"/>
        <v>0.26753378204678868</v>
      </c>
      <c r="AD51" s="17">
        <f t="shared" si="196"/>
        <v>0.27381741934356418</v>
      </c>
      <c r="AE51" s="17">
        <f t="shared" si="196"/>
        <v>0.2800680519656345</v>
      </c>
      <c r="AF51" s="17">
        <f t="shared" si="196"/>
        <v>0.286281880503096</v>
      </c>
      <c r="AG51" s="17">
        <f t="shared" si="196"/>
        <v>0.29245537907301661</v>
      </c>
      <c r="AH51" s="17">
        <f t="shared" si="196"/>
        <v>0.29858528441679905</v>
      </c>
      <c r="AI51" s="17">
        <f t="shared" si="196"/>
        <v>0.30197508928548106</v>
      </c>
      <c r="AJ51" s="17">
        <f t="shared" si="196"/>
        <v>0.30534302133911484</v>
      </c>
      <c r="AK51" s="17">
        <f t="shared" si="196"/>
        <v>0.30868901100862828</v>
      </c>
      <c r="AL51" s="17">
        <f t="shared" si="196"/>
        <v>0.31201299592230664</v>
      </c>
      <c r="AM51" s="17">
        <f t="shared" si="196"/>
        <v>0.31531492071587136</v>
      </c>
      <c r="AN51" s="17">
        <f t="shared" si="196"/>
        <v>0.31859473684516559</v>
      </c>
      <c r="AO51" s="17">
        <f t="shared" si="196"/>
        <v>0.32185240240149382</v>
      </c>
      <c r="AP51" s="17">
        <f t="shared" si="196"/>
        <v>0.32508788192966115</v>
      </c>
      <c r="AQ51" s="17">
        <f t="shared" si="196"/>
        <v>0.3283011462487494</v>
      </c>
    </row>
    <row r="52" spans="2:44" s="10" customFormat="1" x14ac:dyDescent="0.25">
      <c r="B52" s="15" t="s">
        <v>48</v>
      </c>
      <c r="C52" s="14">
        <f t="shared" ref="C52:J52" si="197">C34/C33</f>
        <v>0.26305457400863763</v>
      </c>
      <c r="D52" s="14">
        <f t="shared" si="197"/>
        <v>0.2612330198537095</v>
      </c>
      <c r="E52" s="14">
        <f t="shared" si="197"/>
        <v>0.25280898876404495</v>
      </c>
      <c r="F52" s="14">
        <f t="shared" si="197"/>
        <v>0.27832834704562454</v>
      </c>
      <c r="G52" s="14">
        <f t="shared" si="197"/>
        <v>0.25975427527810063</v>
      </c>
      <c r="H52" s="14">
        <f t="shared" si="197"/>
        <v>0.25922152027715506</v>
      </c>
      <c r="I52" s="14">
        <f t="shared" si="197"/>
        <v>0.26960784313725489</v>
      </c>
      <c r="J52" s="14">
        <f t="shared" si="197"/>
        <v>0.26</v>
      </c>
      <c r="K52" s="14">
        <f t="shared" ref="K52:L52" si="198">K34/K33</f>
        <v>0.26</v>
      </c>
      <c r="L52" s="14">
        <f t="shared" si="198"/>
        <v>0.26</v>
      </c>
      <c r="O52" s="14">
        <f t="shared" ref="O52:X52" si="199">O34/O33</f>
        <v>0.28938458474407491</v>
      </c>
      <c r="P52" s="14">
        <f t="shared" si="199"/>
        <v>0.30810902319282207</v>
      </c>
      <c r="Q52" s="14">
        <f t="shared" si="199"/>
        <v>0.30144280316042599</v>
      </c>
      <c r="R52" s="14">
        <f t="shared" si="199"/>
        <v>0</v>
      </c>
      <c r="S52" s="14">
        <f t="shared" si="199"/>
        <v>0</v>
      </c>
      <c r="T52" s="14">
        <f t="shared" si="199"/>
        <v>0</v>
      </c>
      <c r="U52" s="14">
        <f t="shared" si="199"/>
        <v>0</v>
      </c>
      <c r="V52" s="14">
        <f t="shared" si="199"/>
        <v>0.25337118523775726</v>
      </c>
      <c r="W52" s="14">
        <f t="shared" si="199"/>
        <v>0.26464482354003072</v>
      </c>
      <c r="X52" s="14">
        <f t="shared" si="199"/>
        <v>0.29996264475158757</v>
      </c>
      <c r="Y52" s="14">
        <f>Y34/Y33</f>
        <v>0.262041717506246</v>
      </c>
      <c r="Z52" s="14">
        <f>Z34/Z33</f>
        <v>0.26636860407352209</v>
      </c>
      <c r="AA52" s="14">
        <f>AA34/AA33</f>
        <v>0.25951509606587375</v>
      </c>
      <c r="AB52" s="14">
        <f>AB34/AB33</f>
        <v>0.26475894655052684</v>
      </c>
      <c r="AC52" s="14">
        <f t="shared" ref="AC52" si="200">AC34/AC33</f>
        <v>0.26</v>
      </c>
      <c r="AD52" s="14">
        <f t="shared" ref="AD52:AQ52" si="201">AD34/AD33</f>
        <v>0.26</v>
      </c>
      <c r="AE52" s="14">
        <f t="shared" si="201"/>
        <v>0.26</v>
      </c>
      <c r="AF52" s="14">
        <f t="shared" si="201"/>
        <v>0.26</v>
      </c>
      <c r="AG52" s="14">
        <f t="shared" si="201"/>
        <v>0.26</v>
      </c>
      <c r="AH52" s="14">
        <f t="shared" si="201"/>
        <v>0.26</v>
      </c>
      <c r="AI52" s="14">
        <f t="shared" si="201"/>
        <v>0.26</v>
      </c>
      <c r="AJ52" s="14">
        <f t="shared" si="201"/>
        <v>0.26</v>
      </c>
      <c r="AK52" s="14">
        <f t="shared" si="201"/>
        <v>0.26</v>
      </c>
      <c r="AL52" s="14">
        <f t="shared" si="201"/>
        <v>0.26</v>
      </c>
      <c r="AM52" s="14">
        <f t="shared" si="201"/>
        <v>0.26</v>
      </c>
      <c r="AN52" s="14">
        <f t="shared" si="201"/>
        <v>0.26</v>
      </c>
      <c r="AO52" s="14">
        <f t="shared" si="201"/>
        <v>0.26</v>
      </c>
      <c r="AP52" s="14">
        <f t="shared" si="201"/>
        <v>0.26</v>
      </c>
      <c r="AQ52" s="14">
        <f t="shared" si="201"/>
        <v>0.26</v>
      </c>
    </row>
    <row r="53" spans="2:44" x14ac:dyDescent="0.25">
      <c r="B53" s="9" t="s">
        <v>49</v>
      </c>
      <c r="C53" s="14">
        <f t="shared" ref="C53:J53" si="202">C35/C25</f>
        <v>0.19644165358451074</v>
      </c>
      <c r="D53" s="14">
        <f t="shared" si="202"/>
        <v>0.19887482419127989</v>
      </c>
      <c r="E53" s="14">
        <f t="shared" si="202"/>
        <v>0.19191919191919191</v>
      </c>
      <c r="F53" s="14">
        <f t="shared" si="202"/>
        <v>0.18181604051348488</v>
      </c>
      <c r="G53" s="14">
        <f t="shared" si="202"/>
        <v>0.21110321969696969</v>
      </c>
      <c r="H53" s="14">
        <f t="shared" si="202"/>
        <v>0.16555461936100926</v>
      </c>
      <c r="I53" s="14">
        <f t="shared" si="202"/>
        <v>0.18233078196607241</v>
      </c>
      <c r="J53" s="14">
        <f t="shared" si="202"/>
        <v>0.17676530194957224</v>
      </c>
      <c r="K53" s="14">
        <f t="shared" ref="K53:L53" si="203">K35/K25</f>
        <v>0.19100605669318865</v>
      </c>
      <c r="L53" s="14">
        <f t="shared" si="203"/>
        <v>0.18482453589030162</v>
      </c>
      <c r="W53" s="10">
        <f>RATE(8,0,-O18,W18)</f>
        <v>5.9036328616906567E-2</v>
      </c>
      <c r="AA53" s="10">
        <f>RATE(12,0,-O18,AA18)</f>
        <v>5.3707250348224322E-2</v>
      </c>
    </row>
    <row r="54" spans="2:44" x14ac:dyDescent="0.25">
      <c r="W54" s="10">
        <f>RATE(8,0,-O19,W19)</f>
        <v>0.12426784890573818</v>
      </c>
      <c r="AA54" s="10">
        <f>RATE(12,0,-O19,AA19)</f>
        <v>0.14044134325526569</v>
      </c>
    </row>
    <row r="55" spans="2:44" s="2" customFormat="1" x14ac:dyDescent="0.25">
      <c r="B55" s="2" t="s">
        <v>16</v>
      </c>
      <c r="F55" s="6"/>
      <c r="G55" s="6">
        <f t="shared" ref="G55" si="204">G57-G73+G63</f>
        <v>-15483</v>
      </c>
      <c r="H55" s="6">
        <f>H57-H73+H63</f>
        <v>-13142</v>
      </c>
      <c r="I55" s="6">
        <f t="shared" ref="I55" si="205">I57-I73+I63</f>
        <v>-14767</v>
      </c>
      <c r="J55" s="6">
        <f>I55+J35</f>
        <v>-6922.5200359999999</v>
      </c>
      <c r="K55" s="6">
        <f t="shared" ref="K55:L55" si="206">J55+K35</f>
        <v>1426.2897599999997</v>
      </c>
      <c r="L55" s="6">
        <f t="shared" si="206"/>
        <v>9905.1143828799995</v>
      </c>
      <c r="O55" s="2">
        <f>170+2303-4132-3134</f>
        <v>-4793</v>
      </c>
      <c r="P55" s="2">
        <f>-2976-3836+2196+163</f>
        <v>-4453</v>
      </c>
      <c r="Q55" s="2">
        <f>152+3221-4159-4688</f>
        <v>-5474</v>
      </c>
      <c r="W55" s="10">
        <f>RATE(8,0,-O20,W20)</f>
        <v>9.9723377075651432E-2</v>
      </c>
      <c r="AA55" s="10">
        <f>RATE(12,0,-O20,AA20)</f>
        <v>8.2490091755619777E-2</v>
      </c>
      <c r="AC55" s="2">
        <f>L55</f>
        <v>9905.1143828799995</v>
      </c>
      <c r="AD55" s="2">
        <f t="shared" ref="AD55:AQ55" si="207">AC55+AD35</f>
        <v>30003.256123647945</v>
      </c>
      <c r="AE55" s="2">
        <f t="shared" si="207"/>
        <v>52920.791741970927</v>
      </c>
      <c r="AF55" s="2">
        <f t="shared" si="207"/>
        <v>78995.666944834738</v>
      </c>
      <c r="AG55" s="2">
        <f t="shared" si="207"/>
        <v>108604.19318309876</v>
      </c>
      <c r="AH55" s="2">
        <f t="shared" si="207"/>
        <v>142165.26457749761</v>
      </c>
      <c r="AI55" s="2">
        <f t="shared" si="207"/>
        <v>177671.11229592306</v>
      </c>
      <c r="AJ55" s="2">
        <f t="shared" si="207"/>
        <v>215206.2597255471</v>
      </c>
      <c r="AK55" s="2">
        <f t="shared" si="207"/>
        <v>254858.44573441887</v>
      </c>
      <c r="AL55" s="2">
        <f t="shared" si="207"/>
        <v>296718.73793091346</v>
      </c>
      <c r="AM55" s="2">
        <f t="shared" si="207"/>
        <v>340881.64972157974</v>
      </c>
      <c r="AN55" s="2">
        <f t="shared" si="207"/>
        <v>387445.26129065198</v>
      </c>
      <c r="AO55" s="2">
        <f t="shared" si="207"/>
        <v>436511.34462840104</v>
      </c>
      <c r="AP55" s="2">
        <f t="shared" si="207"/>
        <v>488185.49273953272</v>
      </c>
      <c r="AQ55" s="2">
        <f t="shared" si="207"/>
        <v>542577.25316699978</v>
      </c>
      <c r="AR55" s="2">
        <f>AQ55*0.15</f>
        <v>81386.587975049959</v>
      </c>
    </row>
    <row r="56" spans="2:44" s="2" customFormat="1" x14ac:dyDescent="0.25">
      <c r="F56" s="6"/>
      <c r="G56" s="6"/>
      <c r="H56" s="6"/>
      <c r="I56" s="6"/>
      <c r="J56" s="6"/>
      <c r="K56" s="6"/>
      <c r="L56" s="6"/>
      <c r="W56" s="10">
        <f>RATE(8,0,-O21,W21)</f>
        <v>0.10730372068480173</v>
      </c>
      <c r="AA56" s="10">
        <f>RATE(12,0,-O21,AA21)</f>
        <v>0.15427120465769248</v>
      </c>
    </row>
    <row r="57" spans="2:44" s="2" customFormat="1" x14ac:dyDescent="0.25">
      <c r="B57" s="2" t="s">
        <v>14</v>
      </c>
      <c r="F57" s="6"/>
      <c r="G57" s="6">
        <v>6145</v>
      </c>
      <c r="H57" s="6">
        <v>7774</v>
      </c>
      <c r="I57" s="6">
        <v>7155</v>
      </c>
      <c r="J57" s="6"/>
      <c r="K57" s="6"/>
      <c r="L57" s="6"/>
      <c r="W57" s="10">
        <f>RATE(8,0,-O22,W22)</f>
        <v>0.10961594207257359</v>
      </c>
      <c r="AA57" s="10">
        <f>RATE(12,0,-O22,AA22)</f>
        <v>8.8903538489954068E-2</v>
      </c>
    </row>
    <row r="58" spans="2:44" s="2" customFormat="1" x14ac:dyDescent="0.25">
      <c r="B58" s="33" t="s">
        <v>8</v>
      </c>
      <c r="F58" s="6"/>
      <c r="G58" s="6">
        <f>8539+1102</f>
        <v>9641</v>
      </c>
      <c r="H58" s="34">
        <f>7723+1017</f>
        <v>8740</v>
      </c>
      <c r="I58" s="6">
        <f>8293+1032</f>
        <v>9325</v>
      </c>
      <c r="J58" s="6"/>
      <c r="K58" s="6"/>
      <c r="L58" s="6"/>
    </row>
    <row r="59" spans="2:44" s="2" customFormat="1" x14ac:dyDescent="0.25">
      <c r="B59" s="33" t="s">
        <v>9</v>
      </c>
      <c r="F59" s="6"/>
      <c r="G59" s="6">
        <f>507+3769</f>
        <v>4276</v>
      </c>
      <c r="H59" s="6">
        <f>533+3992</f>
        <v>4525</v>
      </c>
      <c r="I59" s="6">
        <f>733+4094</f>
        <v>4827</v>
      </c>
      <c r="J59" s="6"/>
      <c r="K59" s="6"/>
      <c r="L59" s="6"/>
    </row>
    <row r="60" spans="2:44" s="2" customFormat="1" x14ac:dyDescent="0.25">
      <c r="B60" s="33" t="s">
        <v>70</v>
      </c>
      <c r="F60" s="6"/>
      <c r="G60" s="6">
        <v>4173</v>
      </c>
      <c r="H60" s="6">
        <v>4728</v>
      </c>
      <c r="I60" s="6">
        <v>4448</v>
      </c>
      <c r="J60" s="6"/>
      <c r="K60" s="6"/>
      <c r="L60" s="6"/>
    </row>
    <row r="61" spans="2:44" s="2" customFormat="1" x14ac:dyDescent="0.25">
      <c r="B61" s="33" t="s">
        <v>71</v>
      </c>
      <c r="F61" s="6"/>
      <c r="G61" s="6">
        <v>22638</v>
      </c>
      <c r="H61" s="6">
        <v>22952</v>
      </c>
      <c r="I61" s="6">
        <v>24295</v>
      </c>
      <c r="J61" s="6"/>
      <c r="K61" s="6"/>
      <c r="L61" s="6"/>
    </row>
    <row r="62" spans="2:44" s="2" customFormat="1" x14ac:dyDescent="0.25">
      <c r="B62" s="33" t="s">
        <v>72</v>
      </c>
      <c r="F62" s="6"/>
      <c r="G62" s="6">
        <v>1394</v>
      </c>
      <c r="H62" s="6">
        <v>1363</v>
      </c>
      <c r="I62" s="6">
        <v>1146</v>
      </c>
      <c r="J62" s="6"/>
      <c r="K62" s="6"/>
      <c r="L62" s="6"/>
    </row>
    <row r="63" spans="2:44" s="2" customFormat="1" x14ac:dyDescent="0.25">
      <c r="B63" s="33" t="s">
        <v>73</v>
      </c>
      <c r="F63" s="6"/>
      <c r="G63" s="6">
        <v>1074</v>
      </c>
      <c r="H63" s="6">
        <v>991</v>
      </c>
      <c r="I63" s="6">
        <v>1388</v>
      </c>
      <c r="J63" s="6"/>
      <c r="K63" s="6"/>
      <c r="L63" s="6"/>
    </row>
    <row r="64" spans="2:44" s="2" customFormat="1" x14ac:dyDescent="0.25">
      <c r="B64" s="33" t="s">
        <v>74</v>
      </c>
      <c r="F64" s="6"/>
      <c r="G64" s="6">
        <v>14642</v>
      </c>
      <c r="H64" s="6">
        <v>15679</v>
      </c>
      <c r="I64" s="6">
        <v>16060</v>
      </c>
      <c r="J64" s="6"/>
      <c r="K64" s="6"/>
      <c r="L64" s="6"/>
    </row>
    <row r="65" spans="2:12" s="2" customFormat="1" x14ac:dyDescent="0.25">
      <c r="B65" s="33" t="s">
        <v>75</v>
      </c>
      <c r="F65" s="6"/>
      <c r="G65" s="6">
        <v>24971</v>
      </c>
      <c r="H65" s="6">
        <v>27331</v>
      </c>
      <c r="I65" s="6">
        <v>28531</v>
      </c>
      <c r="J65" s="6"/>
      <c r="K65" s="6"/>
      <c r="L65" s="6"/>
    </row>
    <row r="66" spans="2:12" s="2" customFormat="1" x14ac:dyDescent="0.25">
      <c r="B66" s="33" t="s">
        <v>76</v>
      </c>
      <c r="F66" s="6"/>
      <c r="G66" s="6">
        <f>25102+25139</f>
        <v>50241</v>
      </c>
      <c r="H66" s="6">
        <f>24022+25589</f>
        <v>49611</v>
      </c>
      <c r="I66" s="6">
        <f>21379+25895</f>
        <v>47274</v>
      </c>
      <c r="J66" s="6"/>
      <c r="K66" s="6"/>
      <c r="L66" s="6"/>
    </row>
    <row r="67" spans="2:12" s="2" customFormat="1" x14ac:dyDescent="0.25">
      <c r="B67" s="33" t="s">
        <v>77</v>
      </c>
      <c r="F67" s="6"/>
      <c r="G67" s="6">
        <f t="shared" ref="G67" si="208">SUM(G57:G66)</f>
        <v>139195</v>
      </c>
      <c r="H67" s="6">
        <f>SUM(H57:H66)</f>
        <v>143694</v>
      </c>
      <c r="I67" s="6">
        <f t="shared" ref="I67" si="209">SUM(I57:I66)</f>
        <v>144449</v>
      </c>
      <c r="J67" s="6"/>
      <c r="K67" s="6"/>
      <c r="L67" s="6"/>
    </row>
    <row r="68" spans="2:12" s="2" customFormat="1" x14ac:dyDescent="0.25">
      <c r="B68" s="33"/>
      <c r="F68" s="6"/>
      <c r="G68" s="6"/>
      <c r="H68" s="6"/>
      <c r="I68" s="6"/>
      <c r="J68" s="6"/>
      <c r="K68" s="6"/>
      <c r="L68" s="6"/>
    </row>
    <row r="69" spans="2:12" s="2" customFormat="1" x14ac:dyDescent="0.25">
      <c r="B69" s="33" t="s">
        <v>78</v>
      </c>
      <c r="F69" s="6"/>
      <c r="G69" s="6">
        <f>8401+3907</f>
        <v>12308</v>
      </c>
      <c r="H69" s="6">
        <f>9540+3880</f>
        <v>13420</v>
      </c>
      <c r="I69" s="6">
        <f>8263+3689</f>
        <v>11952</v>
      </c>
      <c r="J69" s="6"/>
      <c r="K69" s="6"/>
      <c r="L69" s="6"/>
    </row>
    <row r="70" spans="2:12" s="2" customFormat="1" x14ac:dyDescent="0.25">
      <c r="B70" s="33" t="s">
        <v>9</v>
      </c>
      <c r="F70" s="6"/>
      <c r="G70" s="6">
        <f>1328+7197</f>
        <v>8525</v>
      </c>
      <c r="H70" s="6">
        <f>1148+7012</f>
        <v>8160</v>
      </c>
      <c r="I70" s="6">
        <f>1463+7200</f>
        <v>8663</v>
      </c>
      <c r="J70" s="6"/>
      <c r="K70" s="6"/>
      <c r="L70" s="6"/>
    </row>
    <row r="71" spans="2:12" s="2" customFormat="1" x14ac:dyDescent="0.25">
      <c r="B71" s="33" t="s">
        <v>79</v>
      </c>
      <c r="F71" s="6"/>
      <c r="G71" s="6">
        <v>8224</v>
      </c>
      <c r="H71" s="6">
        <v>9048</v>
      </c>
      <c r="I71" s="6">
        <v>8210</v>
      </c>
      <c r="J71" s="6"/>
      <c r="K71" s="6"/>
      <c r="L71" s="6"/>
    </row>
    <row r="72" spans="2:12" s="2" customFormat="1" x14ac:dyDescent="0.25">
      <c r="B72" s="33" t="s">
        <v>74</v>
      </c>
      <c r="F72" s="6"/>
      <c r="G72" s="6">
        <f>2558+12899</f>
        <v>15457</v>
      </c>
      <c r="H72" s="6">
        <f>2728+13810</f>
        <v>16538</v>
      </c>
      <c r="I72" s="6">
        <f>2819+14226</f>
        <v>17045</v>
      </c>
      <c r="J72" s="6"/>
      <c r="K72" s="6"/>
      <c r="L72" s="6"/>
    </row>
    <row r="73" spans="2:12" s="2" customFormat="1" x14ac:dyDescent="0.25">
      <c r="B73" s="2" t="s">
        <v>15</v>
      </c>
      <c r="F73" s="6"/>
      <c r="G73" s="6">
        <f>13779+8923</f>
        <v>22702</v>
      </c>
      <c r="H73" s="6">
        <f>10680+11227</f>
        <v>21907</v>
      </c>
      <c r="I73" s="6">
        <f>11770+11540</f>
        <v>23310</v>
      </c>
      <c r="J73" s="6"/>
      <c r="K73" s="6"/>
      <c r="L73" s="6"/>
    </row>
    <row r="74" spans="2:12" s="2" customFormat="1" x14ac:dyDescent="0.25">
      <c r="B74" s="33" t="s">
        <v>80</v>
      </c>
      <c r="F74" s="6"/>
      <c r="G74" s="6">
        <v>12710</v>
      </c>
      <c r="H74" s="6">
        <v>11919</v>
      </c>
      <c r="I74" s="6">
        <v>8789</v>
      </c>
      <c r="J74" s="6"/>
      <c r="K74" s="6"/>
      <c r="L74" s="6"/>
    </row>
    <row r="75" spans="2:12" x14ac:dyDescent="0.25">
      <c r="B75" s="18" t="s">
        <v>81</v>
      </c>
      <c r="G75" s="6">
        <f t="shared" ref="G75" si="210">SUM(G69:G74)</f>
        <v>79926</v>
      </c>
      <c r="H75" s="6">
        <f>SUM(H69:H74)</f>
        <v>80992</v>
      </c>
      <c r="I75" s="6">
        <f t="shared" ref="I75" si="211">SUM(I69:I74)</f>
        <v>77969</v>
      </c>
    </row>
    <row r="76" spans="2:12" x14ac:dyDescent="0.25">
      <c r="B76" s="18" t="s">
        <v>73</v>
      </c>
      <c r="G76" s="6">
        <f t="shared" ref="G76" si="212">G67-G75</f>
        <v>59269</v>
      </c>
      <c r="H76" s="6">
        <f>H67-H75</f>
        <v>62702</v>
      </c>
      <c r="I76" s="6">
        <f t="shared" ref="I76" si="213">I67-I75</f>
        <v>66480</v>
      </c>
    </row>
    <row r="77" spans="2:12" x14ac:dyDescent="0.25">
      <c r="B77" s="18"/>
      <c r="H77" s="6"/>
      <c r="I77" s="6"/>
    </row>
    <row r="78" spans="2:12" x14ac:dyDescent="0.25">
      <c r="B78" s="37" t="s">
        <v>117</v>
      </c>
      <c r="G78" s="14">
        <f t="shared" ref="G78" si="214">G106/G76</f>
        <v>0.28068636217921678</v>
      </c>
      <c r="H78" s="14">
        <f>H106/H76</f>
        <v>0.25815763452521451</v>
      </c>
      <c r="I78" s="14">
        <f t="shared" ref="I78" si="215">I106/I76</f>
        <v>0.22366125150421179</v>
      </c>
    </row>
    <row r="79" spans="2:12" x14ac:dyDescent="0.25">
      <c r="B79" s="37" t="s">
        <v>60</v>
      </c>
      <c r="G79" s="14">
        <f t="shared" ref="G79" si="216">G106/SUM(G58:G62,G64:G65)</f>
        <v>0.20353581696947451</v>
      </c>
      <c r="H79" s="14">
        <f>H106/SUM(H58:H62,H64:H65)</f>
        <v>0.18972549755034107</v>
      </c>
      <c r="I79" s="14">
        <f t="shared" ref="I79" si="217">I106/SUM(I58:I62,I64:I65)</f>
        <v>0.16776107951981226</v>
      </c>
    </row>
    <row r="80" spans="2:12" x14ac:dyDescent="0.25">
      <c r="B80" s="18"/>
    </row>
    <row r="81" spans="2:27" s="2" customFormat="1" x14ac:dyDescent="0.25">
      <c r="B81" s="33" t="s">
        <v>82</v>
      </c>
      <c r="F81" s="6"/>
      <c r="G81" s="6">
        <v>11564</v>
      </c>
      <c r="H81" s="6">
        <f>22560-G81</f>
        <v>10996</v>
      </c>
      <c r="I81" s="6">
        <v>10624</v>
      </c>
      <c r="J81" s="6"/>
      <c r="K81" s="6"/>
      <c r="L81" s="6"/>
    </row>
    <row r="82" spans="2:27" s="2" customFormat="1" x14ac:dyDescent="0.25">
      <c r="B82" s="33" t="s">
        <v>83</v>
      </c>
      <c r="F82" s="6"/>
      <c r="G82" s="6">
        <v>5</v>
      </c>
      <c r="H82" s="6">
        <f>42-G82</f>
        <v>37</v>
      </c>
      <c r="I82" s="6">
        <v>9</v>
      </c>
      <c r="J82" s="6"/>
      <c r="K82" s="6"/>
      <c r="L82" s="6"/>
    </row>
    <row r="83" spans="2:27" s="2" customFormat="1" x14ac:dyDescent="0.25">
      <c r="B83" s="33" t="s">
        <v>84</v>
      </c>
      <c r="F83" s="6"/>
      <c r="G83" s="6">
        <f>1599+1480</f>
        <v>3079</v>
      </c>
      <c r="H83" s="6">
        <f>4146+3031-G83</f>
        <v>4098</v>
      </c>
      <c r="I83" s="6">
        <f>1691+1549</f>
        <v>3240</v>
      </c>
      <c r="J83" s="6"/>
      <c r="K83" s="6"/>
      <c r="L83" s="6"/>
    </row>
    <row r="84" spans="2:27" s="2" customFormat="1" x14ac:dyDescent="0.25">
      <c r="B84" s="33" t="s">
        <v>8</v>
      </c>
      <c r="F84" s="6"/>
      <c r="G84" s="6">
        <v>-139</v>
      </c>
      <c r="H84" s="6">
        <f>-259-G84</f>
        <v>-120</v>
      </c>
      <c r="I84" s="6">
        <v>-79</v>
      </c>
      <c r="J84" s="6"/>
      <c r="K84" s="6"/>
      <c r="L84" s="6"/>
    </row>
    <row r="85" spans="2:27" s="2" customFormat="1" x14ac:dyDescent="0.25">
      <c r="B85" s="33" t="s">
        <v>85</v>
      </c>
      <c r="F85" s="6"/>
      <c r="G85" s="6">
        <v>-328</v>
      </c>
      <c r="H85" s="6">
        <f>-457-G85</f>
        <v>-129</v>
      </c>
      <c r="I85" s="6">
        <v>-189</v>
      </c>
      <c r="J85" s="6"/>
      <c r="K85" s="6"/>
      <c r="L85" s="6"/>
    </row>
    <row r="86" spans="2:27" s="2" customFormat="1" x14ac:dyDescent="0.25">
      <c r="B86" s="33" t="s">
        <v>74</v>
      </c>
      <c r="F86" s="6"/>
      <c r="G86" s="6">
        <v>-144</v>
      </c>
      <c r="H86" s="6">
        <f>-356-G86</f>
        <v>-212</v>
      </c>
      <c r="I86" s="6">
        <v>-230</v>
      </c>
      <c r="J86" s="6"/>
      <c r="K86" s="6"/>
      <c r="L86" s="6"/>
    </row>
    <row r="87" spans="2:27" s="2" customFormat="1" x14ac:dyDescent="0.25">
      <c r="B87" s="33" t="s">
        <v>9</v>
      </c>
      <c r="F87" s="6"/>
      <c r="G87" s="6">
        <v>-2815</v>
      </c>
      <c r="H87" s="6">
        <f>-5730-G87</f>
        <v>-2915</v>
      </c>
      <c r="I87" s="6">
        <v>-2580</v>
      </c>
      <c r="J87" s="6"/>
      <c r="K87" s="6"/>
      <c r="L87" s="6"/>
    </row>
    <row r="88" spans="2:27" s="2" customFormat="1" x14ac:dyDescent="0.25">
      <c r="B88" s="33" t="s">
        <v>86</v>
      </c>
      <c r="F88" s="6"/>
      <c r="G88" s="6">
        <v>-4472</v>
      </c>
      <c r="H88" s="6">
        <f>-4577-G88</f>
        <v>-105</v>
      </c>
      <c r="I88" s="6">
        <v>-3511</v>
      </c>
      <c r="J88" s="6"/>
      <c r="K88" s="6"/>
      <c r="L88" s="6"/>
    </row>
    <row r="89" spans="2:27" s="2" customFormat="1" x14ac:dyDescent="0.25">
      <c r="B89" s="2" t="s">
        <v>21</v>
      </c>
      <c r="C89" s="2">
        <v>7722</v>
      </c>
      <c r="D89" s="2">
        <f t="shared" ref="D89:D91" si="218">Y89-C89</f>
        <v>10926</v>
      </c>
      <c r="E89" s="2">
        <v>7266</v>
      </c>
      <c r="F89" s="6">
        <f t="shared" ref="F89:F91" si="219">Z89-E89</f>
        <v>10567</v>
      </c>
      <c r="G89" s="6">
        <f>SUM(G81:G88)</f>
        <v>6750</v>
      </c>
      <c r="H89" s="6">
        <f>SUM(H81:H88)</f>
        <v>11650</v>
      </c>
      <c r="I89" s="6">
        <f t="shared" ref="I89" si="220">SUM(I81:I88)</f>
        <v>7284</v>
      </c>
      <c r="J89" s="6"/>
      <c r="K89" s="6"/>
      <c r="L89" s="6"/>
      <c r="O89" s="2">
        <v>3907</v>
      </c>
      <c r="P89" s="2">
        <v>4176</v>
      </c>
      <c r="Q89" s="2">
        <v>4621</v>
      </c>
      <c r="V89" s="2">
        <v>8490</v>
      </c>
      <c r="W89" s="2">
        <v>11648</v>
      </c>
      <c r="X89" s="2">
        <v>10897</v>
      </c>
      <c r="Y89" s="2">
        <v>18648</v>
      </c>
      <c r="Z89" s="2">
        <v>17833</v>
      </c>
      <c r="AA89" s="2">
        <v>18400</v>
      </c>
    </row>
    <row r="90" spans="2:27" s="2" customFormat="1" x14ac:dyDescent="0.25">
      <c r="F90" s="6"/>
      <c r="G90" s="6"/>
      <c r="H90" s="6"/>
      <c r="I90" s="6"/>
      <c r="J90" s="6"/>
      <c r="K90" s="6"/>
      <c r="L90" s="6"/>
    </row>
    <row r="91" spans="2:27" s="2" customFormat="1" x14ac:dyDescent="0.25">
      <c r="B91" s="2" t="s">
        <v>29</v>
      </c>
      <c r="C91" s="2">
        <v>-1191</v>
      </c>
      <c r="D91" s="2">
        <f t="shared" si="218"/>
        <v>-1473</v>
      </c>
      <c r="E91" s="2">
        <v>-1882</v>
      </c>
      <c r="F91" s="6">
        <f t="shared" si="219"/>
        <v>-3087</v>
      </c>
      <c r="G91" s="6">
        <v>-3564</v>
      </c>
      <c r="H91" s="6">
        <f>-7478-G91</f>
        <v>-3914</v>
      </c>
      <c r="I91" s="6">
        <v>-2728</v>
      </c>
      <c r="J91" s="6"/>
      <c r="K91" s="6"/>
      <c r="L91" s="6"/>
      <c r="O91" s="2">
        <v>-1730</v>
      </c>
      <c r="P91" s="2">
        <v>-1702</v>
      </c>
      <c r="Q91" s="2">
        <v>-1663</v>
      </c>
      <c r="V91" s="2">
        <v>-3038</v>
      </c>
      <c r="W91" s="2">
        <v>-3294</v>
      </c>
      <c r="X91" s="2">
        <v>-2478</v>
      </c>
      <c r="Y91" s="2">
        <v>-2664</v>
      </c>
      <c r="Z91" s="2">
        <v>-4969</v>
      </c>
      <c r="AA91" s="2">
        <v>-7478</v>
      </c>
    </row>
    <row r="92" spans="2:27" s="2" customFormat="1" x14ac:dyDescent="0.25">
      <c r="B92" s="33" t="s">
        <v>87</v>
      </c>
      <c r="F92" s="6"/>
      <c r="G92" s="6">
        <f>-441-92</f>
        <v>-533</v>
      </c>
      <c r="H92" s="6">
        <f>-721-G92-116</f>
        <v>-304</v>
      </c>
      <c r="I92" s="6">
        <f>-400-38</f>
        <v>-438</v>
      </c>
      <c r="J92" s="6"/>
      <c r="K92" s="6"/>
      <c r="L92" s="6"/>
    </row>
    <row r="93" spans="2:27" s="2" customFormat="1" x14ac:dyDescent="0.25">
      <c r="B93" s="33" t="s">
        <v>83</v>
      </c>
      <c r="F93" s="6"/>
      <c r="G93" s="6">
        <v>2</v>
      </c>
      <c r="H93" s="6">
        <f>5-G93</f>
        <v>3</v>
      </c>
      <c r="I93" s="6">
        <v>2</v>
      </c>
      <c r="J93" s="6"/>
      <c r="K93" s="6"/>
      <c r="L93" s="6"/>
    </row>
    <row r="94" spans="2:27" s="2" customFormat="1" x14ac:dyDescent="0.25">
      <c r="B94" s="33" t="s">
        <v>88</v>
      </c>
      <c r="C94" s="6">
        <f>SUM(C91:C93)</f>
        <v>-1191</v>
      </c>
      <c r="E94" s="6">
        <f>SUM(E91:E93)</f>
        <v>-1882</v>
      </c>
      <c r="F94" s="6"/>
      <c r="G94" s="6">
        <f>SUM(G91:G93)</f>
        <v>-4095</v>
      </c>
      <c r="H94" s="6">
        <f t="shared" ref="H94:I94" si="221">SUM(H91:H93)</f>
        <v>-4215</v>
      </c>
      <c r="I94" s="6">
        <f t="shared" si="221"/>
        <v>-3164</v>
      </c>
      <c r="J94" s="6"/>
      <c r="K94" s="6"/>
      <c r="L94" s="6"/>
    </row>
    <row r="95" spans="2:27" s="2" customFormat="1" x14ac:dyDescent="0.25">
      <c r="F95" s="6"/>
      <c r="G95" s="6"/>
      <c r="H95" s="6"/>
      <c r="I95" s="6"/>
      <c r="J95" s="6"/>
      <c r="K95" s="6"/>
      <c r="L95" s="6"/>
    </row>
    <row r="96" spans="2:27" s="2" customFormat="1" x14ac:dyDescent="0.25">
      <c r="B96" s="33" t="s">
        <v>83</v>
      </c>
      <c r="F96" s="6"/>
      <c r="G96" s="6">
        <v>-4100</v>
      </c>
      <c r="H96" s="6">
        <f>-7159-G96</f>
        <v>-3059</v>
      </c>
      <c r="I96" s="6">
        <v>-4215</v>
      </c>
      <c r="J96" s="6"/>
      <c r="K96" s="6"/>
      <c r="L96" s="6"/>
    </row>
    <row r="97" spans="2:27" s="2" customFormat="1" x14ac:dyDescent="0.25">
      <c r="B97" s="33" t="s">
        <v>92</v>
      </c>
      <c r="F97" s="6"/>
      <c r="H97" s="6">
        <v>-17</v>
      </c>
      <c r="I97" s="6">
        <v>-104</v>
      </c>
      <c r="J97" s="6"/>
      <c r="K97" s="6"/>
      <c r="L97" s="6"/>
    </row>
    <row r="98" spans="2:27" s="2" customFormat="1" x14ac:dyDescent="0.25">
      <c r="B98" s="33" t="s">
        <v>73</v>
      </c>
      <c r="F98" s="6"/>
      <c r="G98" s="6">
        <v>-1376</v>
      </c>
      <c r="H98" s="6">
        <f>-1569-G98</f>
        <v>-193</v>
      </c>
      <c r="I98" s="6">
        <v>-4</v>
      </c>
      <c r="J98" s="6"/>
      <c r="K98" s="6"/>
      <c r="L98" s="6"/>
    </row>
    <row r="99" spans="2:27" s="2" customFormat="1" x14ac:dyDescent="0.25">
      <c r="B99" s="33" t="s">
        <v>93</v>
      </c>
      <c r="F99" s="6"/>
      <c r="G99" s="6">
        <v>5209</v>
      </c>
      <c r="H99" s="6">
        <f>5990-G99</f>
        <v>781</v>
      </c>
      <c r="I99" s="6">
        <v>3587</v>
      </c>
      <c r="J99" s="6"/>
      <c r="K99" s="6"/>
      <c r="L99" s="6"/>
    </row>
    <row r="100" spans="2:27" s="2" customFormat="1" x14ac:dyDescent="0.25">
      <c r="B100" s="33" t="s">
        <v>94</v>
      </c>
      <c r="F100" s="6"/>
      <c r="G100" s="6">
        <f>-2493-1389</f>
        <v>-3882</v>
      </c>
      <c r="H100" s="6">
        <f>-3968-G100-2818</f>
        <v>-2904</v>
      </c>
      <c r="I100" s="6">
        <f>-2783-1426</f>
        <v>-4209</v>
      </c>
      <c r="J100" s="6"/>
      <c r="K100" s="6"/>
      <c r="L100" s="6"/>
    </row>
    <row r="101" spans="2:27" s="2" customFormat="1" x14ac:dyDescent="0.25">
      <c r="B101" s="33" t="s">
        <v>95</v>
      </c>
      <c r="F101" s="6"/>
      <c r="G101" s="6">
        <v>137</v>
      </c>
      <c r="H101" s="6">
        <f>144-G101</f>
        <v>7</v>
      </c>
      <c r="I101" s="6"/>
      <c r="J101" s="6"/>
      <c r="K101" s="6"/>
      <c r="L101" s="6"/>
    </row>
    <row r="102" spans="2:27" s="2" customFormat="1" x14ac:dyDescent="0.25">
      <c r="B102" s="33" t="s">
        <v>96</v>
      </c>
      <c r="F102" s="6"/>
      <c r="G102" s="6">
        <f>SUM(G96:G101)</f>
        <v>-4012</v>
      </c>
      <c r="H102" s="6">
        <f t="shared" ref="H102:I102" si="222">SUM(H96:H101)</f>
        <v>-5385</v>
      </c>
      <c r="I102" s="6">
        <f t="shared" si="222"/>
        <v>-4945</v>
      </c>
      <c r="J102" s="6"/>
      <c r="K102" s="6"/>
      <c r="L102" s="6"/>
    </row>
    <row r="103" spans="2:27" s="2" customFormat="1" x14ac:dyDescent="0.25">
      <c r="B103" s="33"/>
      <c r="F103" s="6"/>
      <c r="G103" s="6"/>
      <c r="H103" s="6"/>
      <c r="I103" s="6"/>
      <c r="J103" s="6"/>
      <c r="K103" s="6"/>
      <c r="L103" s="6"/>
    </row>
    <row r="104" spans="2:27" s="3" customFormat="1" x14ac:dyDescent="0.25">
      <c r="B104" s="3" t="s">
        <v>30</v>
      </c>
      <c r="C104" s="7">
        <f t="shared" ref="C104:I104" si="223">C89+C91</f>
        <v>6531</v>
      </c>
      <c r="D104" s="7">
        <f t="shared" si="223"/>
        <v>9453</v>
      </c>
      <c r="E104" s="7">
        <f t="shared" si="223"/>
        <v>5384</v>
      </c>
      <c r="F104" s="7">
        <f t="shared" si="223"/>
        <v>7480</v>
      </c>
      <c r="G104" s="7">
        <f t="shared" si="223"/>
        <v>3186</v>
      </c>
      <c r="H104" s="7">
        <f t="shared" si="223"/>
        <v>7736</v>
      </c>
      <c r="I104" s="7">
        <f t="shared" si="223"/>
        <v>4556</v>
      </c>
      <c r="J104" s="7"/>
      <c r="K104" s="7"/>
      <c r="L104" s="7"/>
      <c r="O104" s="3">
        <f t="shared" ref="O104" si="224">O89+O91</f>
        <v>2177</v>
      </c>
      <c r="P104" s="3">
        <f t="shared" ref="P104" si="225">+P89+P91</f>
        <v>2474</v>
      </c>
      <c r="Q104" s="3">
        <f>+Q89+Q91</f>
        <v>2958</v>
      </c>
      <c r="V104" s="3">
        <f t="shared" ref="V104:X104" si="226">V89+V91</f>
        <v>5452</v>
      </c>
      <c r="W104" s="3">
        <f t="shared" si="226"/>
        <v>8354</v>
      </c>
      <c r="X104" s="3">
        <f t="shared" si="226"/>
        <v>8419</v>
      </c>
      <c r="Y104" s="3">
        <f>Y89+Y91</f>
        <v>15984</v>
      </c>
      <c r="Z104" s="3">
        <f>Z89+Z91</f>
        <v>12864</v>
      </c>
      <c r="AA104" s="3">
        <f>AA89+AA91</f>
        <v>10922</v>
      </c>
    </row>
    <row r="105" spans="2:27" x14ac:dyDescent="0.25">
      <c r="B105" s="18" t="s">
        <v>89</v>
      </c>
      <c r="D105" s="6">
        <f t="shared" ref="D105" si="227">SUM(C104:D104)</f>
        <v>15984</v>
      </c>
      <c r="E105" s="6">
        <f t="shared" ref="E105" si="228">SUM(D104:E104)</f>
        <v>14837</v>
      </c>
      <c r="F105" s="6">
        <f t="shared" ref="F105" si="229">SUM(E104:F104)</f>
        <v>12864</v>
      </c>
      <c r="G105" s="6">
        <f t="shared" ref="G105" si="230">SUM(F104:G104)</f>
        <v>10666</v>
      </c>
      <c r="H105" s="6">
        <f>SUM(G104:H104)</f>
        <v>10922</v>
      </c>
      <c r="I105" s="6">
        <f t="shared" ref="I105" si="231">SUM(H104:I104)</f>
        <v>12292</v>
      </c>
    </row>
    <row r="106" spans="2:27" x14ac:dyDescent="0.25">
      <c r="B106" s="18" t="s">
        <v>90</v>
      </c>
      <c r="D106" s="6">
        <f>SUM(C35:D35)</f>
        <v>12701</v>
      </c>
      <c r="E106" s="6">
        <f>SUM(D35:E35)</f>
        <v>14119</v>
      </c>
      <c r="F106" s="6">
        <f>SUM(E35:F35)</f>
        <v>14768</v>
      </c>
      <c r="G106" s="6">
        <f>SUM(F35:G35)</f>
        <v>16636</v>
      </c>
      <c r="H106" s="6">
        <f>SUM(G35:H35)</f>
        <v>16187</v>
      </c>
      <c r="I106" s="6">
        <f t="shared" ref="I106" si="232">SUM(H35:I35)</f>
        <v>14869</v>
      </c>
    </row>
    <row r="107" spans="2:27" x14ac:dyDescent="0.25">
      <c r="B107" s="18" t="s">
        <v>91</v>
      </c>
      <c r="D107" s="6">
        <f>SUM(C91:D91)</f>
        <v>-2664</v>
      </c>
      <c r="E107" s="6">
        <f t="shared" ref="E107:H107" si="233">SUM(D91:E91)</f>
        <v>-3355</v>
      </c>
      <c r="F107" s="6">
        <f t="shared" si="233"/>
        <v>-4969</v>
      </c>
      <c r="G107" s="6">
        <f t="shared" si="233"/>
        <v>-6651</v>
      </c>
      <c r="H107" s="6">
        <f t="shared" si="233"/>
        <v>-7478</v>
      </c>
      <c r="I107" s="6">
        <f t="shared" ref="I107" si="234">SUM(H91:I91)</f>
        <v>-6642</v>
      </c>
    </row>
    <row r="108" spans="2:27" x14ac:dyDescent="0.25">
      <c r="B108" s="18"/>
      <c r="D108" s="6"/>
      <c r="E108" s="6"/>
      <c r="F108" s="6"/>
      <c r="G108" s="6"/>
      <c r="H108" s="6"/>
    </row>
    <row r="109" spans="2:27" x14ac:dyDescent="0.25">
      <c r="B109" s="18"/>
      <c r="D109" s="6"/>
      <c r="E109" s="6"/>
      <c r="F109" s="6"/>
      <c r="G109" s="6"/>
      <c r="H109" s="6"/>
    </row>
    <row r="111" spans="2:27" x14ac:dyDescent="0.25">
      <c r="B111" s="1" t="s">
        <v>7</v>
      </c>
    </row>
    <row r="112" spans="2:27" s="2" customFormat="1" x14ac:dyDescent="0.25">
      <c r="B112" s="2" t="s">
        <v>17</v>
      </c>
      <c r="F112" s="6"/>
      <c r="G112" s="6">
        <v>1046</v>
      </c>
      <c r="H112" s="6"/>
      <c r="I112" s="6">
        <v>777</v>
      </c>
      <c r="J112" s="6"/>
      <c r="K112" s="6"/>
      <c r="L112" s="6"/>
      <c r="O112" s="2">
        <v>1101</v>
      </c>
      <c r="P112" s="2">
        <v>1260</v>
      </c>
      <c r="Q112" s="2">
        <v>1370</v>
      </c>
      <c r="S112" s="2">
        <v>1363</v>
      </c>
      <c r="T112" s="2">
        <v>1504</v>
      </c>
      <c r="U112" s="2">
        <v>1558</v>
      </c>
      <c r="V112" s="2">
        <v>1629</v>
      </c>
      <c r="W112" s="2">
        <v>1729</v>
      </c>
      <c r="X112" s="2">
        <v>1388</v>
      </c>
      <c r="Y112" s="2">
        <v>1863</v>
      </c>
      <c r="Z112" s="2">
        <v>2155</v>
      </c>
      <c r="AA112" s="2">
        <v>2109</v>
      </c>
    </row>
    <row r="113" spans="2:28" s="2" customFormat="1" x14ac:dyDescent="0.25">
      <c r="B113" s="2" t="s">
        <v>18</v>
      </c>
      <c r="F113" s="6"/>
      <c r="G113" s="6">
        <v>8562</v>
      </c>
      <c r="H113" s="6"/>
      <c r="I113" s="6">
        <v>8058</v>
      </c>
      <c r="J113" s="6"/>
      <c r="K113" s="6"/>
      <c r="L113" s="6"/>
      <c r="O113" s="2">
        <v>3075</v>
      </c>
      <c r="P113" s="2">
        <v>3264</v>
      </c>
      <c r="Q113" s="2">
        <v>3140</v>
      </c>
      <c r="S113" s="2">
        <v>3505</v>
      </c>
      <c r="T113" s="2">
        <v>3873</v>
      </c>
      <c r="U113" s="2">
        <v>4905</v>
      </c>
      <c r="V113" s="2">
        <v>5943</v>
      </c>
      <c r="W113" s="2">
        <v>7344</v>
      </c>
      <c r="X113" s="2">
        <v>7188</v>
      </c>
      <c r="Y113" s="2">
        <v>12842</v>
      </c>
      <c r="Z113" s="2">
        <v>15709</v>
      </c>
      <c r="AA113" s="2">
        <v>16836</v>
      </c>
      <c r="AB113" s="10"/>
    </row>
    <row r="114" spans="2:28" s="2" customFormat="1" x14ac:dyDescent="0.25">
      <c r="B114" s="2" t="s">
        <v>19</v>
      </c>
      <c r="F114" s="6"/>
      <c r="G114" s="6">
        <v>446</v>
      </c>
      <c r="H114" s="6"/>
      <c r="I114" s="6">
        <v>445</v>
      </c>
      <c r="J114" s="6"/>
      <c r="K114" s="6"/>
      <c r="L114" s="6"/>
      <c r="O114" s="2">
        <v>348</v>
      </c>
      <c r="P114" s="2">
        <v>408</v>
      </c>
      <c r="Q114" s="2">
        <v>414</v>
      </c>
      <c r="S114" s="2">
        <v>524</v>
      </c>
      <c r="T114" s="2">
        <v>551</v>
      </c>
      <c r="U114" s="2">
        <v>600</v>
      </c>
      <c r="V114" s="2">
        <v>676</v>
      </c>
      <c r="W114" s="2">
        <v>683</v>
      </c>
      <c r="X114" s="2">
        <v>80</v>
      </c>
      <c r="Y114" s="2">
        <v>684</v>
      </c>
      <c r="Z114" s="2">
        <v>660</v>
      </c>
      <c r="AA114" s="2">
        <v>713</v>
      </c>
    </row>
    <row r="115" spans="2:28" s="2" customFormat="1" x14ac:dyDescent="0.25">
      <c r="B115" s="2" t="s">
        <v>20</v>
      </c>
      <c r="F115" s="6"/>
      <c r="G115" s="6">
        <v>1089</v>
      </c>
      <c r="H115" s="6"/>
      <c r="I115" s="6">
        <v>877</v>
      </c>
      <c r="J115" s="6"/>
      <c r="K115" s="6"/>
      <c r="L115" s="6"/>
      <c r="O115" s="2">
        <v>265</v>
      </c>
      <c r="P115" s="2">
        <v>334</v>
      </c>
      <c r="Q115" s="2">
        <v>375</v>
      </c>
      <c r="S115" s="2">
        <v>432</v>
      </c>
      <c r="T115" s="2">
        <v>458</v>
      </c>
      <c r="U115" s="2">
        <v>512</v>
      </c>
      <c r="V115" s="2">
        <v>703</v>
      </c>
      <c r="W115" s="2">
        <v>736</v>
      </c>
      <c r="X115" s="2">
        <v>302</v>
      </c>
      <c r="Y115" s="2">
        <v>1679</v>
      </c>
      <c r="Z115" s="2">
        <v>2017</v>
      </c>
      <c r="AA115" s="2">
        <v>2162</v>
      </c>
    </row>
    <row r="116" spans="2:28" s="2" customFormat="1" x14ac:dyDescent="0.25">
      <c r="B116" s="2" t="s">
        <v>0</v>
      </c>
      <c r="F116" s="6"/>
      <c r="G116" s="6">
        <v>734</v>
      </c>
      <c r="H116" s="6"/>
      <c r="I116" s="6">
        <v>785</v>
      </c>
      <c r="J116" s="6"/>
      <c r="K116" s="6"/>
      <c r="L116" s="6"/>
      <c r="O116" s="2">
        <v>716</v>
      </c>
      <c r="P116" s="2">
        <v>854</v>
      </c>
      <c r="Q116" s="2">
        <v>901</v>
      </c>
      <c r="S116" s="2">
        <v>940</v>
      </c>
      <c r="T116" s="2">
        <v>919</v>
      </c>
      <c r="U116" s="2">
        <v>1075</v>
      </c>
      <c r="V116" s="2">
        <v>1382</v>
      </c>
      <c r="W116" s="2">
        <v>1395</v>
      </c>
      <c r="X116" s="2">
        <v>-203</v>
      </c>
      <c r="Y116" s="2">
        <v>534</v>
      </c>
      <c r="Z116" s="2">
        <v>788</v>
      </c>
      <c r="AA116" s="2">
        <v>1391</v>
      </c>
    </row>
    <row r="117" spans="2:28" s="2" customFormat="1" x14ac:dyDescent="0.25">
      <c r="B117" s="2" t="s">
        <v>8</v>
      </c>
      <c r="F117" s="6"/>
      <c r="G117" s="6">
        <v>-303</v>
      </c>
      <c r="H117" s="6"/>
      <c r="I117" s="6">
        <v>-289</v>
      </c>
      <c r="J117" s="6"/>
      <c r="K117" s="6"/>
      <c r="L117" s="6"/>
      <c r="O117" s="2">
        <v>-242</v>
      </c>
      <c r="P117" s="2">
        <v>-199</v>
      </c>
      <c r="Q117" s="2">
        <v>-179</v>
      </c>
      <c r="S117" s="2">
        <v>-159</v>
      </c>
      <c r="T117" s="2">
        <v>-279</v>
      </c>
      <c r="U117" s="2">
        <v>-357</v>
      </c>
      <c r="V117" s="2">
        <v>-330</v>
      </c>
      <c r="W117" s="2">
        <v>-383</v>
      </c>
      <c r="X117" s="2">
        <v>-450</v>
      </c>
      <c r="Y117" s="2">
        <v>-451</v>
      </c>
      <c r="Z117" s="2">
        <v>-274</v>
      </c>
      <c r="AA117" s="2">
        <v>-409</v>
      </c>
    </row>
    <row r="118" spans="2:28" x14ac:dyDescent="0.25">
      <c r="B118" s="2"/>
      <c r="C118" s="2"/>
      <c r="D118" s="2"/>
      <c r="E118" s="2"/>
    </row>
    <row r="119" spans="2:28" x14ac:dyDescent="0.25">
      <c r="B119" s="2" t="s">
        <v>17</v>
      </c>
      <c r="C119" s="2"/>
      <c r="D119" s="2"/>
      <c r="E119" s="2"/>
      <c r="G119" s="10">
        <f t="shared" ref="G119:I119" si="235">G112/G18</f>
        <v>0.32882741276328198</v>
      </c>
      <c r="I119" s="10">
        <f t="shared" si="235"/>
        <v>0.27680798004987534</v>
      </c>
      <c r="O119" s="10">
        <f t="shared" ref="O119:X119" si="236">O112/O18</f>
        <v>0.3124290578887628</v>
      </c>
      <c r="P119" s="10">
        <f t="shared" si="236"/>
        <v>0.30456852791878175</v>
      </c>
      <c r="Q119" s="10">
        <f t="shared" si="236"/>
        <v>0.32720324814903273</v>
      </c>
      <c r="R119" s="10">
        <f t="shared" si="236"/>
        <v>0</v>
      </c>
      <c r="S119" s="10">
        <f t="shared" si="236"/>
        <v>0.29611123180534432</v>
      </c>
      <c r="T119" s="10">
        <f t="shared" si="236"/>
        <v>0.31106514994829371</v>
      </c>
      <c r="U119" s="10">
        <f t="shared" si="236"/>
        <v>0.30645161290322581</v>
      </c>
      <c r="V119" s="10">
        <f t="shared" si="236"/>
        <v>0.31674120163328795</v>
      </c>
      <c r="W119" s="10">
        <f t="shared" si="236"/>
        <v>0.31007890961262552</v>
      </c>
      <c r="X119" s="10">
        <f t="shared" si="236"/>
        <v>0.29190325972660358</v>
      </c>
      <c r="Y119" s="10">
        <f t="shared" ref="Y119:Z119" si="237">Y112/Y18</f>
        <v>0.31185135587546031</v>
      </c>
      <c r="Z119" s="10">
        <f t="shared" si="237"/>
        <v>0.30356388223693476</v>
      </c>
      <c r="AA119" s="10">
        <f t="shared" ref="AA119:AA124" si="238">AA112/AA18</f>
        <v>0.31944865192365951</v>
      </c>
    </row>
    <row r="120" spans="2:28" x14ac:dyDescent="0.25">
      <c r="B120" s="2" t="s">
        <v>18</v>
      </c>
      <c r="C120" s="2"/>
      <c r="D120" s="2"/>
      <c r="E120" s="2"/>
      <c r="G120" s="10">
        <f t="shared" ref="G120:I120" si="239">G113/G19</f>
        <v>0.40459313864474056</v>
      </c>
      <c r="I120" s="10">
        <f t="shared" si="239"/>
        <v>0.3879447306340571</v>
      </c>
      <c r="O120" s="10">
        <f t="shared" ref="O120:X120" si="240">O113/O19</f>
        <v>0.35296143250688705</v>
      </c>
      <c r="P120" s="10">
        <f t="shared" si="240"/>
        <v>0.32883336691517229</v>
      </c>
      <c r="Q120" s="10">
        <f t="shared" si="240"/>
        <v>0.31774944343250355</v>
      </c>
      <c r="R120" s="10">
        <f t="shared" si="240"/>
        <v>0</v>
      </c>
      <c r="S120" s="10">
        <f t="shared" si="240"/>
        <v>0.28336971460910343</v>
      </c>
      <c r="T120" s="10">
        <f t="shared" si="240"/>
        <v>0.30317025440313111</v>
      </c>
      <c r="U120" s="10">
        <f t="shared" si="240"/>
        <v>0.31702430196483972</v>
      </c>
      <c r="V120" s="10">
        <f t="shared" si="240"/>
        <v>0.3220265510701707</v>
      </c>
      <c r="W120" s="10">
        <f t="shared" si="240"/>
        <v>0.33026037684939513</v>
      </c>
      <c r="X120" s="10">
        <f t="shared" si="240"/>
        <v>0.3389446880746923</v>
      </c>
      <c r="Y120" s="10">
        <f t="shared" ref="Y120:Z124" si="241">Y113/Y19</f>
        <v>0.41565251165199379</v>
      </c>
      <c r="Z120" s="10">
        <f t="shared" si="241"/>
        <v>0.40646346512109294</v>
      </c>
      <c r="AA120" s="10">
        <f t="shared" si="238"/>
        <v>0.39925063435224928</v>
      </c>
    </row>
    <row r="121" spans="2:28" x14ac:dyDescent="0.25">
      <c r="B121" s="2" t="s">
        <v>19</v>
      </c>
      <c r="C121" s="2"/>
      <c r="D121" s="2"/>
      <c r="E121" s="2"/>
      <c r="G121" s="10">
        <f t="shared" ref="G121:I121" si="242">G114/G20</f>
        <v>0.11072492552135055</v>
      </c>
      <c r="I121" s="10">
        <f t="shared" si="242"/>
        <v>0.10759187620889749</v>
      </c>
      <c r="O121" s="10">
        <f t="shared" ref="O121:X121" si="243">O114/O20</f>
        <v>0.10892018779342723</v>
      </c>
      <c r="P121" s="10">
        <f t="shared" si="243"/>
        <v>0.11292554663714365</v>
      </c>
      <c r="Q121" s="10">
        <f t="shared" si="243"/>
        <v>0.11138014527845036</v>
      </c>
      <c r="R121" s="10">
        <f t="shared" si="243"/>
        <v>0</v>
      </c>
      <c r="S121" s="10">
        <f t="shared" si="243"/>
        <v>0.11218154570755727</v>
      </c>
      <c r="T121" s="10">
        <f t="shared" si="243"/>
        <v>0.11124570967090652</v>
      </c>
      <c r="U121" s="10">
        <f t="shared" si="243"/>
        <v>0.1079136690647482</v>
      </c>
      <c r="V121" s="10">
        <f t="shared" si="243"/>
        <v>0.11096520026263952</v>
      </c>
      <c r="W121" s="10">
        <f t="shared" si="243"/>
        <v>9.9926847110460862E-2</v>
      </c>
      <c r="X121" s="10">
        <f t="shared" si="243"/>
        <v>1.524390243902439E-2</v>
      </c>
      <c r="Y121" s="10">
        <f t="shared" si="241"/>
        <v>0.10351089588377724</v>
      </c>
      <c r="Z121" s="10">
        <f t="shared" si="241"/>
        <v>8.5470085470085472E-2</v>
      </c>
      <c r="AA121" s="10">
        <f t="shared" si="238"/>
        <v>8.6204811993712979E-2</v>
      </c>
    </row>
    <row r="122" spans="2:28" x14ac:dyDescent="0.25">
      <c r="B122" s="2" t="s">
        <v>20</v>
      </c>
      <c r="C122" s="2"/>
      <c r="D122" s="2"/>
      <c r="E122" s="2"/>
      <c r="G122" s="10">
        <f t="shared" ref="G122:I122" si="244">G115/G21</f>
        <v>0.20066334991708126</v>
      </c>
      <c r="I122" s="10">
        <f t="shared" si="244"/>
        <v>0.17029126213592233</v>
      </c>
      <c r="O122" s="10">
        <f t="shared" ref="O122:X122" si="245">O115/O21</f>
        <v>0.13596716264751155</v>
      </c>
      <c r="P122" s="10">
        <f t="shared" si="245"/>
        <v>0.11777150916784203</v>
      </c>
      <c r="Q122" s="10">
        <f t="shared" si="245"/>
        <v>0.13469827586206898</v>
      </c>
      <c r="R122" s="10">
        <f t="shared" si="245"/>
        <v>0</v>
      </c>
      <c r="S122" s="10">
        <f t="shared" si="245"/>
        <v>0.13059250302297462</v>
      </c>
      <c r="T122" s="10">
        <f t="shared" si="245"/>
        <v>0.13206459054209918</v>
      </c>
      <c r="U122" s="10">
        <f t="shared" si="245"/>
        <v>0.13455978975032851</v>
      </c>
      <c r="V122" s="10">
        <f t="shared" si="245"/>
        <v>0.17050691244239632</v>
      </c>
      <c r="W122" s="10">
        <f t="shared" si="245"/>
        <v>0.1670828603859251</v>
      </c>
      <c r="X122" s="10">
        <f t="shared" si="245"/>
        <v>8.9988081048867699E-2</v>
      </c>
      <c r="Y122" s="10">
        <f t="shared" si="241"/>
        <v>0.18730477465417225</v>
      </c>
      <c r="Z122" s="10">
        <f t="shared" si="241"/>
        <v>0.19062470465929496</v>
      </c>
      <c r="AA122" s="10">
        <f t="shared" si="238"/>
        <v>0.19831223628691982</v>
      </c>
    </row>
    <row r="123" spans="2:28" x14ac:dyDescent="0.25">
      <c r="B123" s="2" t="s">
        <v>0</v>
      </c>
      <c r="C123" s="2"/>
      <c r="D123" s="2"/>
      <c r="E123" s="2"/>
      <c r="G123" s="10">
        <f t="shared" ref="G123:I123" si="246">G116/G22</f>
        <v>8.7851585876720525E-2</v>
      </c>
      <c r="I123" s="10">
        <f t="shared" si="246"/>
        <v>9.0940685820203898E-2</v>
      </c>
      <c r="O123" s="10">
        <f t="shared" ref="O123:X123" si="247">O116/O22</f>
        <v>0.11124922311995028</v>
      </c>
      <c r="P123" s="10">
        <f t="shared" si="247"/>
        <v>0.10838938951643609</v>
      </c>
      <c r="Q123" s="10">
        <f t="shared" si="247"/>
        <v>0.10080554933989706</v>
      </c>
      <c r="R123" s="10">
        <f t="shared" si="247"/>
        <v>0</v>
      </c>
      <c r="S123" s="10">
        <f t="shared" si="247"/>
        <v>8.3981059590815685E-2</v>
      </c>
      <c r="T123" s="10">
        <f t="shared" si="247"/>
        <v>7.675603441075754E-2</v>
      </c>
      <c r="U123" s="10">
        <f t="shared" si="247"/>
        <v>8.0760273458042223E-2</v>
      </c>
      <c r="V123" s="10">
        <f t="shared" si="247"/>
        <v>0.1012750989300894</v>
      </c>
      <c r="W123" s="10">
        <f t="shared" si="247"/>
        <v>9.4314109931715226E-2</v>
      </c>
      <c r="X123" s="10">
        <f t="shared" si="247"/>
        <v>-1.9990152634170359E-2</v>
      </c>
      <c r="Y123" s="10">
        <f t="shared" si="241"/>
        <v>4.5431342521694743E-2</v>
      </c>
      <c r="Z123" s="10">
        <f t="shared" si="241"/>
        <v>5.3056827363318071E-2</v>
      </c>
      <c r="AA123" s="10">
        <f t="shared" si="238"/>
        <v>7.7774671512440594E-2</v>
      </c>
    </row>
    <row r="124" spans="2:28" x14ac:dyDescent="0.25">
      <c r="B124" s="2" t="s">
        <v>8</v>
      </c>
      <c r="C124" s="2"/>
      <c r="D124" s="2"/>
      <c r="E124" s="2"/>
      <c r="G124" s="10">
        <f t="shared" ref="G124:I124" si="248">G117/G23</f>
        <v>-3.4827586206896552</v>
      </c>
      <c r="I124" s="10">
        <f t="shared" si="248"/>
        <v>-1.5966850828729282</v>
      </c>
      <c r="O124" s="10">
        <f t="shared" ref="O124:X124" si="249">O117/O23</f>
        <v>1.5414012738853504</v>
      </c>
      <c r="P124" s="10">
        <f t="shared" si="249"/>
        <v>0.69097222222222221</v>
      </c>
      <c r="Q124" s="10">
        <f t="shared" si="249"/>
        <v>0.49860724233983289</v>
      </c>
      <c r="R124" s="10">
        <f t="shared" si="249"/>
        <v>0</v>
      </c>
      <c r="S124" s="10">
        <f t="shared" si="249"/>
        <v>-0.3549107142857143</v>
      </c>
      <c r="T124" s="10">
        <f t="shared" si="249"/>
        <v>-0.43730407523510972</v>
      </c>
      <c r="U124" s="10">
        <f t="shared" si="249"/>
        <v>-0.54838709677419351</v>
      </c>
      <c r="V124" s="10">
        <f t="shared" si="249"/>
        <v>0.52132701421800953</v>
      </c>
      <c r="W124" s="10">
        <f t="shared" si="249"/>
        <v>2.2011494252873565</v>
      </c>
      <c r="X124" s="10">
        <f t="shared" si="249"/>
        <v>6.4285714285714288</v>
      </c>
      <c r="Y124" s="10">
        <f t="shared" si="241"/>
        <v>-23.736842105263158</v>
      </c>
      <c r="Z124" s="10">
        <f t="shared" si="241"/>
        <v>-0.97163120567375882</v>
      </c>
      <c r="AA124" s="10">
        <f t="shared" si="238"/>
        <v>-1.2623456790123457</v>
      </c>
    </row>
    <row r="126" spans="2:28" x14ac:dyDescent="0.25">
      <c r="B126" s="1" t="s">
        <v>21</v>
      </c>
      <c r="Z126" s="10">
        <f>SUM(Z115,Z113)/SUM(Z19,Z21)</f>
        <v>0.36007231509882387</v>
      </c>
      <c r="AA126" s="10">
        <f>SUM(AA115,AA113)/SUM(AA19,AA21)</f>
        <v>0.357973281076294</v>
      </c>
    </row>
    <row r="134" spans="2:2" x14ac:dyDescent="0.25">
      <c r="B134" s="18" t="s">
        <v>22</v>
      </c>
    </row>
    <row r="135" spans="2:2" x14ac:dyDescent="0.25">
      <c r="B135" s="18" t="s">
        <v>24</v>
      </c>
    </row>
    <row r="136" spans="2:2" x14ac:dyDescent="0.25">
      <c r="B136" s="18" t="s">
        <v>25</v>
      </c>
    </row>
    <row r="137" spans="2:2" x14ac:dyDescent="0.25">
      <c r="B137" s="18" t="s">
        <v>28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113C-85D5-4251-A6FD-F394F28FB94E}">
  <dimension ref="A1:M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9" sqref="M19"/>
    </sheetView>
  </sheetViews>
  <sheetFormatPr defaultColWidth="8.88671875" defaultRowHeight="13.2" x14ac:dyDescent="0.25"/>
  <cols>
    <col min="1" max="1" width="8.88671875" style="37"/>
    <col min="2" max="2" width="11.88671875" style="37" bestFit="1" customWidth="1"/>
    <col min="3" max="16384" width="8.88671875" style="37"/>
  </cols>
  <sheetData>
    <row r="1" spans="1:13" x14ac:dyDescent="0.25">
      <c r="A1" s="47" t="s">
        <v>135</v>
      </c>
    </row>
    <row r="2" spans="1:13" x14ac:dyDescent="0.25">
      <c r="A2" s="37" t="s">
        <v>109</v>
      </c>
    </row>
    <row r="3" spans="1:13" x14ac:dyDescent="0.25">
      <c r="B3" s="37" t="s">
        <v>1</v>
      </c>
      <c r="C3" s="38">
        <v>2017</v>
      </c>
      <c r="D3" s="38">
        <f>1+C3</f>
        <v>2018</v>
      </c>
      <c r="E3" s="38">
        <f t="shared" ref="E3:M3" si="0">1+D3</f>
        <v>2019</v>
      </c>
      <c r="F3" s="38">
        <f t="shared" si="0"/>
        <v>2020</v>
      </c>
      <c r="G3" s="38">
        <f t="shared" si="0"/>
        <v>2021</v>
      </c>
      <c r="H3" s="38">
        <f t="shared" si="0"/>
        <v>2022</v>
      </c>
      <c r="I3" s="38">
        <f t="shared" si="0"/>
        <v>2023</v>
      </c>
      <c r="J3" s="38">
        <f t="shared" si="0"/>
        <v>2024</v>
      </c>
      <c r="K3" s="38">
        <f t="shared" si="0"/>
        <v>2025</v>
      </c>
      <c r="L3" s="38">
        <f t="shared" si="0"/>
        <v>2026</v>
      </c>
      <c r="M3" s="38">
        <f t="shared" si="0"/>
        <v>2027</v>
      </c>
    </row>
    <row r="4" spans="1:13" x14ac:dyDescent="0.25">
      <c r="B4" s="37" t="s">
        <v>121</v>
      </c>
      <c r="C4" s="42">
        <v>5550</v>
      </c>
      <c r="D4" s="42">
        <v>5970</v>
      </c>
      <c r="E4" s="42">
        <v>6880</v>
      </c>
      <c r="F4" s="42">
        <v>6390</v>
      </c>
      <c r="G4" s="42">
        <v>8980</v>
      </c>
      <c r="H4" s="42">
        <v>11600</v>
      </c>
      <c r="I4" s="42">
        <v>13430</v>
      </c>
      <c r="J4" s="42">
        <v>15030</v>
      </c>
    </row>
    <row r="5" spans="1:13" x14ac:dyDescent="0.25">
      <c r="B5" s="37" t="s">
        <v>131</v>
      </c>
      <c r="C5" s="42">
        <v>10820</v>
      </c>
      <c r="D5" s="42">
        <v>13670</v>
      </c>
      <c r="E5" s="42">
        <v>15880</v>
      </c>
      <c r="F5" s="42">
        <v>13100</v>
      </c>
      <c r="G5" s="42">
        <v>17650</v>
      </c>
      <c r="H5" s="42">
        <v>20350</v>
      </c>
      <c r="I5" s="42">
        <v>19570</v>
      </c>
      <c r="J5" s="42">
        <v>18140</v>
      </c>
    </row>
    <row r="6" spans="1:13" x14ac:dyDescent="0.25">
      <c r="B6" s="37" t="s">
        <v>132</v>
      </c>
      <c r="C6" s="42">
        <v>900</v>
      </c>
      <c r="D6" s="42">
        <v>1000</v>
      </c>
      <c r="E6" s="42">
        <v>1100</v>
      </c>
      <c r="F6" s="42">
        <v>1200</v>
      </c>
      <c r="G6" s="42">
        <v>1340</v>
      </c>
      <c r="H6" s="42">
        <v>1470</v>
      </c>
      <c r="I6" s="42">
        <v>1870</v>
      </c>
      <c r="J6" s="42">
        <v>2000</v>
      </c>
    </row>
    <row r="7" spans="1:13" x14ac:dyDescent="0.25">
      <c r="B7" s="37" t="s">
        <v>133</v>
      </c>
      <c r="C7" s="42">
        <v>511</v>
      </c>
      <c r="D7" s="42">
        <v>553</v>
      </c>
      <c r="E7" s="42">
        <v>607</v>
      </c>
      <c r="F7" s="42">
        <v>544</v>
      </c>
      <c r="G7" s="42">
        <v>712</v>
      </c>
      <c r="H7" s="42">
        <v>919</v>
      </c>
      <c r="I7" s="42">
        <v>1140</v>
      </c>
      <c r="J7" s="42">
        <v>1270</v>
      </c>
    </row>
    <row r="8" spans="1:13" x14ac:dyDescent="0.25">
      <c r="B8" s="37" t="s">
        <v>134</v>
      </c>
      <c r="C8" s="42">
        <v>3120</v>
      </c>
      <c r="D8" s="42">
        <v>3160</v>
      </c>
      <c r="E8" s="42">
        <v>2980</v>
      </c>
      <c r="F8" s="42">
        <v>2750</v>
      </c>
      <c r="G8" s="42">
        <v>3350</v>
      </c>
      <c r="H8" s="42">
        <v>3520</v>
      </c>
      <c r="I8" s="42">
        <v>3470</v>
      </c>
      <c r="J8" s="42">
        <v>2990</v>
      </c>
    </row>
    <row r="9" spans="1:13" x14ac:dyDescent="0.25">
      <c r="B9" s="37" t="s">
        <v>108</v>
      </c>
      <c r="C9" s="42">
        <f>SUM(Model!U19:U20)</f>
        <v>21032</v>
      </c>
      <c r="D9" s="42">
        <f>SUM(Model!V19:V20)</f>
        <v>24547</v>
      </c>
      <c r="E9" s="42">
        <f>SUM(Model!W19:W20)</f>
        <v>29072</v>
      </c>
      <c r="F9" s="42">
        <f>SUM(Model!X19:X20)</f>
        <v>26455</v>
      </c>
      <c r="G9" s="42">
        <f>SUM(Model!Y19:Y20)</f>
        <v>37504</v>
      </c>
      <c r="H9" s="42">
        <f>SUM(Model!Z19:Z20)</f>
        <v>46370</v>
      </c>
      <c r="I9" s="42">
        <f>SUM(Model!AA19:AA20)</f>
        <v>50440</v>
      </c>
      <c r="J9" s="42">
        <f>SUM(Model!AB19:AB20)</f>
        <v>50789.29</v>
      </c>
    </row>
    <row r="10" spans="1:13" x14ac:dyDescent="0.25">
      <c r="B10" s="37" t="s">
        <v>105</v>
      </c>
      <c r="C10" s="42">
        <f t="shared" ref="C10:H10" si="1">SUM(C4:C9)</f>
        <v>41933</v>
      </c>
      <c r="D10" s="42">
        <f t="shared" si="1"/>
        <v>48900</v>
      </c>
      <c r="E10" s="42">
        <f t="shared" si="1"/>
        <v>56519</v>
      </c>
      <c r="F10" s="42">
        <f t="shared" si="1"/>
        <v>50439</v>
      </c>
      <c r="G10" s="42">
        <f t="shared" si="1"/>
        <v>69536</v>
      </c>
      <c r="H10" s="42">
        <f t="shared" si="1"/>
        <v>84229</v>
      </c>
      <c r="I10" s="42">
        <f>SUM(I4:I9)</f>
        <v>89920</v>
      </c>
      <c r="J10" s="42">
        <f t="shared" ref="J10" si="2">SUM(J4:J9)</f>
        <v>90219.290000000008</v>
      </c>
      <c r="K10" s="42"/>
      <c r="L10" s="42"/>
      <c r="M10" s="42"/>
    </row>
    <row r="11" spans="1:13" x14ac:dyDescent="0.25">
      <c r="B11" s="37" t="s">
        <v>104</v>
      </c>
      <c r="D11" s="43">
        <f>D10/C10-1</f>
        <v>0.16614599480123049</v>
      </c>
      <c r="E11" s="43">
        <f t="shared" ref="E11:I11" si="3">E10/D10-1</f>
        <v>0.15580777096114518</v>
      </c>
      <c r="F11" s="43">
        <f t="shared" si="3"/>
        <v>-0.10757444399228577</v>
      </c>
      <c r="G11" s="43">
        <f t="shared" si="3"/>
        <v>0.3786157536826662</v>
      </c>
      <c r="H11" s="43">
        <f t="shared" si="3"/>
        <v>0.21130062126092963</v>
      </c>
      <c r="I11" s="43">
        <f t="shared" si="3"/>
        <v>6.7565802752021176E-2</v>
      </c>
      <c r="J11" s="43">
        <f t="shared" ref="J11" si="4">J10/I10-1</f>
        <v>3.3284030249112195E-3</v>
      </c>
    </row>
    <row r="13" spans="1:13" x14ac:dyDescent="0.25">
      <c r="B13" s="37" t="s">
        <v>136</v>
      </c>
    </row>
    <row r="14" spans="1:13" x14ac:dyDescent="0.25">
      <c r="B14" s="37" t="s">
        <v>121</v>
      </c>
      <c r="C14" s="43">
        <f>C4/C10</f>
        <v>0.13235399327498629</v>
      </c>
      <c r="D14" s="43">
        <f t="shared" ref="D14:I14" si="5">D4/D10</f>
        <v>0.12208588957055215</v>
      </c>
      <c r="E14" s="43">
        <f t="shared" si="5"/>
        <v>0.12172897609653391</v>
      </c>
      <c r="F14" s="43">
        <f t="shared" si="5"/>
        <v>0.12668768215071671</v>
      </c>
      <c r="G14" s="43">
        <f t="shared" si="5"/>
        <v>0.12914173953060284</v>
      </c>
      <c r="H14" s="43">
        <f t="shared" si="5"/>
        <v>0.13771978772156859</v>
      </c>
      <c r="I14" s="43">
        <f t="shared" si="5"/>
        <v>0.1493549822064057</v>
      </c>
      <c r="J14" s="43">
        <f t="shared" ref="J14" si="6">J4/J10</f>
        <v>0.1665940842584773</v>
      </c>
    </row>
    <row r="15" spans="1:13" x14ac:dyDescent="0.25">
      <c r="B15" s="37" t="s">
        <v>131</v>
      </c>
      <c r="C15" s="43">
        <f>C5/C10</f>
        <v>0.25803066797033364</v>
      </c>
      <c r="D15" s="43">
        <f t="shared" ref="D15:I15" si="7">D5/D10</f>
        <v>0.27955010224948873</v>
      </c>
      <c r="E15" s="43">
        <f t="shared" si="7"/>
        <v>0.28096746226932534</v>
      </c>
      <c r="F15" s="43">
        <f t="shared" si="7"/>
        <v>0.25971966137314378</v>
      </c>
      <c r="G15" s="43">
        <f t="shared" si="7"/>
        <v>0.25382535664979289</v>
      </c>
      <c r="H15" s="43">
        <f t="shared" si="7"/>
        <v>0.24160324828740695</v>
      </c>
      <c r="I15" s="43">
        <f t="shared" si="7"/>
        <v>0.21763790035587188</v>
      </c>
      <c r="J15" s="43">
        <f t="shared" ref="J15" si="8">J5/J10</f>
        <v>0.20106564793405046</v>
      </c>
    </row>
    <row r="16" spans="1:13" x14ac:dyDescent="0.25">
      <c r="B16" s="37" t="s">
        <v>132</v>
      </c>
      <c r="C16" s="43">
        <f>C6/C10</f>
        <v>2.1462809720268046E-2</v>
      </c>
      <c r="D16" s="43">
        <f t="shared" ref="D16:I16" si="9">D6/D10</f>
        <v>2.0449897750511249E-2</v>
      </c>
      <c r="E16" s="43">
        <f t="shared" si="9"/>
        <v>1.9462481643341176E-2</v>
      </c>
      <c r="F16" s="43">
        <f t="shared" si="9"/>
        <v>2.3791114018913935E-2</v>
      </c>
      <c r="G16" s="43">
        <f t="shared" si="9"/>
        <v>1.9270593649332719E-2</v>
      </c>
      <c r="H16" s="43">
        <f t="shared" si="9"/>
        <v>1.7452421375060846E-2</v>
      </c>
      <c r="I16" s="43">
        <f t="shared" si="9"/>
        <v>2.0796263345195729E-2</v>
      </c>
      <c r="J16" s="43">
        <f t="shared" ref="J16" si="10">J6/J10</f>
        <v>2.2168208151493986E-2</v>
      </c>
    </row>
    <row r="17" spans="2:10" x14ac:dyDescent="0.25">
      <c r="B17" s="37" t="s">
        <v>133</v>
      </c>
      <c r="C17" s="43">
        <f>C7/C10</f>
        <v>1.2186106407841079E-2</v>
      </c>
      <c r="D17" s="43">
        <f t="shared" ref="D17:I17" si="11">D7/D10</f>
        <v>1.130879345603272E-2</v>
      </c>
      <c r="E17" s="43">
        <f t="shared" si="11"/>
        <v>1.0739751234098267E-2</v>
      </c>
      <c r="F17" s="43">
        <f t="shared" si="11"/>
        <v>1.0785305021907651E-2</v>
      </c>
      <c r="G17" s="43">
        <f t="shared" si="11"/>
        <v>1.023930050621261E-2</v>
      </c>
      <c r="H17" s="43">
        <f t="shared" si="11"/>
        <v>1.0910731458286338E-2</v>
      </c>
      <c r="I17" s="43">
        <f t="shared" si="11"/>
        <v>1.2677935943060499E-2</v>
      </c>
      <c r="J17" s="43">
        <f t="shared" ref="J17" si="12">J7/J10</f>
        <v>1.4076812176198682E-2</v>
      </c>
    </row>
    <row r="18" spans="2:10" x14ac:dyDescent="0.25">
      <c r="B18" s="37" t="s">
        <v>134</v>
      </c>
      <c r="C18" s="43">
        <f>C8/C10</f>
        <v>7.4404407030262562E-2</v>
      </c>
      <c r="D18" s="43">
        <f t="shared" ref="D18:I18" si="13">D8/D10</f>
        <v>6.4621676891615548E-2</v>
      </c>
      <c r="E18" s="43">
        <f t="shared" si="13"/>
        <v>5.272563208832428E-2</v>
      </c>
      <c r="F18" s="43">
        <f t="shared" si="13"/>
        <v>5.4521302960011106E-2</v>
      </c>
      <c r="G18" s="43">
        <f t="shared" si="13"/>
        <v>4.8176484123331802E-2</v>
      </c>
      <c r="H18" s="43">
        <f t="shared" si="13"/>
        <v>4.1790832136200121E-2</v>
      </c>
      <c r="I18" s="43">
        <f t="shared" si="13"/>
        <v>3.8589857651245549E-2</v>
      </c>
      <c r="J18" s="43">
        <f t="shared" ref="J18" si="14">J8/J10</f>
        <v>3.3141471186483508E-2</v>
      </c>
    </row>
    <row r="19" spans="2:10" x14ac:dyDescent="0.25">
      <c r="B19" s="37" t="s">
        <v>108</v>
      </c>
      <c r="C19" s="43">
        <f>C9/C10</f>
        <v>0.50156201559630842</v>
      </c>
      <c r="D19" s="43">
        <f t="shared" ref="D19:I19" si="15">D9/D10</f>
        <v>0.50198364008179963</v>
      </c>
      <c r="E19" s="43">
        <f t="shared" si="15"/>
        <v>0.51437569666837701</v>
      </c>
      <c r="F19" s="43">
        <f t="shared" si="15"/>
        <v>0.52449493447530682</v>
      </c>
      <c r="G19" s="43">
        <f t="shared" si="15"/>
        <v>0.53934652554072715</v>
      </c>
      <c r="H19" s="43">
        <f t="shared" si="15"/>
        <v>0.55052297902147718</v>
      </c>
      <c r="I19" s="43">
        <f t="shared" si="15"/>
        <v>0.56094306049822062</v>
      </c>
      <c r="J19" s="43">
        <f t="shared" ref="J19" si="16">J9/J10</f>
        <v>0.56295377629329602</v>
      </c>
    </row>
  </sheetData>
  <hyperlinks>
    <hyperlink ref="A1" location="Main!A1" display="Main!A1" xr:uid="{879A5E5A-F382-4E5E-ABAF-738682D1F967}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FB0F-1B97-4FF1-8D17-CB336FB1EFA3}">
  <dimension ref="A2:N39"/>
  <sheetViews>
    <sheetView workbookViewId="0">
      <selection activeCell="D43" sqref="D43"/>
    </sheetView>
  </sheetViews>
  <sheetFormatPr defaultColWidth="8.88671875" defaultRowHeight="13.2" x14ac:dyDescent="0.25"/>
  <cols>
    <col min="1" max="1" width="6.6640625" style="18" bestFit="1" customWidth="1"/>
    <col min="2" max="2" width="17.5546875" style="18" bestFit="1" customWidth="1"/>
    <col min="3" max="10" width="8.88671875" style="18"/>
    <col min="11" max="11" width="9.44140625" style="18" bestFit="1" customWidth="1"/>
    <col min="12" max="16384" width="8.88671875" style="18"/>
  </cols>
  <sheetData>
    <row r="2" spans="1:14" x14ac:dyDescent="0.25">
      <c r="A2" s="18" t="s">
        <v>109</v>
      </c>
    </row>
    <row r="3" spans="1:14" x14ac:dyDescent="0.25">
      <c r="K3" s="18" t="s">
        <v>110</v>
      </c>
      <c r="L3" s="18">
        <v>2021</v>
      </c>
      <c r="M3" s="18">
        <f>1+L3</f>
        <v>2022</v>
      </c>
      <c r="N3" s="18">
        <f t="shared" ref="N3" si="0">1+M3</f>
        <v>2023</v>
      </c>
    </row>
    <row r="4" spans="1:14" s="33" customFormat="1" x14ac:dyDescent="0.25">
      <c r="B4" s="18"/>
      <c r="C4" s="38">
        <v>2017</v>
      </c>
      <c r="D4" s="38">
        <f t="shared" ref="D4:I4" si="1">+C4+1</f>
        <v>2018</v>
      </c>
      <c r="E4" s="38">
        <f t="shared" si="1"/>
        <v>2019</v>
      </c>
      <c r="F4" s="38">
        <f t="shared" si="1"/>
        <v>2020</v>
      </c>
      <c r="G4" s="38">
        <f t="shared" si="1"/>
        <v>2021</v>
      </c>
      <c r="H4" s="38">
        <f t="shared" si="1"/>
        <v>2022</v>
      </c>
      <c r="I4" s="38">
        <f t="shared" si="1"/>
        <v>2023</v>
      </c>
    </row>
    <row r="5" spans="1:14" s="33" customFormat="1" x14ac:dyDescent="0.25">
      <c r="B5" s="33" t="s">
        <v>108</v>
      </c>
      <c r="C5" s="33">
        <v>5050</v>
      </c>
      <c r="D5" s="33">
        <v>5120</v>
      </c>
      <c r="E5" s="33">
        <v>5550</v>
      </c>
      <c r="F5" s="33">
        <v>4740</v>
      </c>
      <c r="G5" s="33">
        <v>5970</v>
      </c>
      <c r="H5" s="33">
        <v>7090</v>
      </c>
      <c r="I5" s="33">
        <v>6590</v>
      </c>
      <c r="L5" s="36">
        <v>0.31185135587546031</v>
      </c>
      <c r="M5" s="36">
        <v>0.30356388223693476</v>
      </c>
      <c r="N5" s="36">
        <v>0.31944865192365951</v>
      </c>
    </row>
    <row r="6" spans="1:14" s="33" customFormat="1" x14ac:dyDescent="0.25">
      <c r="B6" s="33" t="s">
        <v>107</v>
      </c>
      <c r="C6" s="33">
        <v>9010</v>
      </c>
      <c r="D6" s="33">
        <v>8990</v>
      </c>
      <c r="E6" s="33">
        <v>9180</v>
      </c>
      <c r="F6" s="33">
        <v>8450</v>
      </c>
      <c r="G6" s="33">
        <v>8820</v>
      </c>
      <c r="H6" s="33">
        <v>10720</v>
      </c>
      <c r="I6" s="33">
        <v>12140</v>
      </c>
      <c r="L6" s="36">
        <v>0.28000000000000003</v>
      </c>
      <c r="M6" s="36">
        <v>0.28000000000000003</v>
      </c>
      <c r="N6" s="36">
        <v>0.32519999999999999</v>
      </c>
    </row>
    <row r="7" spans="1:14" s="33" customFormat="1" x14ac:dyDescent="0.25">
      <c r="B7" s="33" t="s">
        <v>106</v>
      </c>
      <c r="C7" s="33">
        <v>13720</v>
      </c>
      <c r="D7" s="33">
        <v>13750</v>
      </c>
      <c r="E7" s="33">
        <v>14380</v>
      </c>
      <c r="F7" s="33">
        <v>12930</v>
      </c>
      <c r="G7" s="33">
        <v>14830</v>
      </c>
      <c r="H7" s="33">
        <v>17950</v>
      </c>
      <c r="I7" s="33">
        <v>19910</v>
      </c>
      <c r="L7" s="36"/>
      <c r="M7" s="36"/>
      <c r="N7" s="36"/>
    </row>
    <row r="8" spans="1:14" s="33" customFormat="1" x14ac:dyDescent="0.25">
      <c r="B8" s="33" t="s">
        <v>111</v>
      </c>
      <c r="C8" s="33">
        <v>7580</v>
      </c>
      <c r="D8" s="33">
        <v>8120</v>
      </c>
      <c r="E8" s="33">
        <v>8340</v>
      </c>
      <c r="F8" s="33">
        <v>8610</v>
      </c>
      <c r="G8" s="33">
        <v>8820</v>
      </c>
      <c r="H8" s="33">
        <v>9450</v>
      </c>
      <c r="I8" s="33">
        <v>9960</v>
      </c>
      <c r="J8" s="33" t="s">
        <v>112</v>
      </c>
      <c r="L8" s="36"/>
      <c r="M8" s="36"/>
      <c r="N8" s="36"/>
    </row>
    <row r="9" spans="1:14" s="33" customFormat="1" x14ac:dyDescent="0.25">
      <c r="B9" s="33" t="s">
        <v>113</v>
      </c>
      <c r="C9" s="33">
        <v>2700</v>
      </c>
      <c r="D9" s="33">
        <v>2960</v>
      </c>
      <c r="E9" s="33">
        <v>3050</v>
      </c>
      <c r="F9" s="33">
        <v>2870</v>
      </c>
      <c r="G9" s="33">
        <v>3720</v>
      </c>
      <c r="H9" s="33">
        <v>3810</v>
      </c>
      <c r="I9" s="33">
        <v>3910</v>
      </c>
      <c r="L9" s="36"/>
      <c r="M9" s="36"/>
      <c r="N9" s="36"/>
    </row>
    <row r="10" spans="1:14" s="33" customFormat="1" x14ac:dyDescent="0.25">
      <c r="B10" s="33" t="s">
        <v>105</v>
      </c>
      <c r="C10" s="33">
        <f>SUM(C5:C9)</f>
        <v>38060</v>
      </c>
      <c r="D10" s="33">
        <f t="shared" ref="D10:I10" si="2">SUM(D5:D9)</f>
        <v>38940</v>
      </c>
      <c r="E10" s="33">
        <f t="shared" si="2"/>
        <v>40500</v>
      </c>
      <c r="F10" s="33">
        <f t="shared" si="2"/>
        <v>37600</v>
      </c>
      <c r="G10" s="33">
        <f t="shared" si="2"/>
        <v>42160</v>
      </c>
      <c r="H10" s="33">
        <f t="shared" si="2"/>
        <v>49020</v>
      </c>
      <c r="I10" s="33">
        <f t="shared" si="2"/>
        <v>52510</v>
      </c>
      <c r="L10" s="36"/>
      <c r="M10" s="36"/>
      <c r="N10" s="36"/>
    </row>
    <row r="11" spans="1:14" s="33" customFormat="1" x14ac:dyDescent="0.25">
      <c r="B11" s="33" t="s">
        <v>104</v>
      </c>
      <c r="D11" s="36">
        <f t="shared" ref="D11:I11" si="3">D10/C10-1</f>
        <v>2.3121387283236983E-2</v>
      </c>
      <c r="E11" s="36">
        <f t="shared" si="3"/>
        <v>4.006163328197232E-2</v>
      </c>
      <c r="F11" s="36">
        <f t="shared" si="3"/>
        <v>-7.1604938271604968E-2</v>
      </c>
      <c r="G11" s="36">
        <f t="shared" si="3"/>
        <v>0.12127659574468086</v>
      </c>
      <c r="H11" s="36">
        <f t="shared" si="3"/>
        <v>0.1627134724857684</v>
      </c>
      <c r="I11" s="36">
        <f t="shared" si="3"/>
        <v>7.1195430436556517E-2</v>
      </c>
      <c r="L11" s="36"/>
      <c r="M11" s="36"/>
      <c r="N11" s="36"/>
    </row>
    <row r="12" spans="1:14" s="33" customFormat="1" x14ac:dyDescent="0.25">
      <c r="B12" s="33" t="s">
        <v>103</v>
      </c>
      <c r="I12" s="36">
        <f>RATE(6,0,-C10,I10)</f>
        <v>5.5104654898098605E-2</v>
      </c>
      <c r="L12" s="36"/>
      <c r="M12" s="36"/>
      <c r="N12" s="36"/>
    </row>
    <row r="13" spans="1:14" s="33" customFormat="1" x14ac:dyDescent="0.25">
      <c r="B13" s="18"/>
      <c r="C13" s="18"/>
      <c r="D13" s="18"/>
      <c r="E13" s="18"/>
      <c r="F13" s="18"/>
      <c r="G13" s="18"/>
      <c r="H13" s="18"/>
      <c r="I13" s="18"/>
    </row>
    <row r="14" spans="1:14" s="33" customFormat="1" x14ac:dyDescent="0.25">
      <c r="B14" s="18" t="s">
        <v>54</v>
      </c>
      <c r="C14" s="36">
        <f t="shared" ref="C14:I14" si="4">+C5/C10</f>
        <v>0.13268523384130321</v>
      </c>
      <c r="D14" s="36">
        <f t="shared" si="4"/>
        <v>0.13148433487416539</v>
      </c>
      <c r="E14" s="36">
        <f t="shared" si="4"/>
        <v>0.13703703703703704</v>
      </c>
      <c r="F14" s="36">
        <f t="shared" si="4"/>
        <v>0.12606382978723404</v>
      </c>
      <c r="G14" s="36">
        <f t="shared" si="4"/>
        <v>0.14160341555977229</v>
      </c>
      <c r="H14" s="36">
        <f t="shared" si="4"/>
        <v>0.14463484292125664</v>
      </c>
      <c r="I14" s="36">
        <f t="shared" si="4"/>
        <v>0.12549990478004189</v>
      </c>
    </row>
    <row r="15" spans="1:14" x14ac:dyDescent="0.25">
      <c r="B15" s="33"/>
      <c r="C15" s="36"/>
      <c r="D15" s="36"/>
      <c r="E15" s="36"/>
      <c r="F15" s="36"/>
      <c r="G15" s="36"/>
      <c r="H15" s="36"/>
      <c r="I15" s="33"/>
    </row>
    <row r="17" spans="2:9" s="33" customFormat="1" x14ac:dyDescent="0.25"/>
    <row r="18" spans="2:9" s="33" customFormat="1" x14ac:dyDescent="0.25"/>
    <row r="19" spans="2:9" s="33" customFormat="1" x14ac:dyDescent="0.25"/>
    <row r="20" spans="2:9" s="33" customFormat="1" x14ac:dyDescent="0.25"/>
    <row r="21" spans="2:9" s="33" customFormat="1" x14ac:dyDescent="0.25"/>
    <row r="22" spans="2:9" s="33" customFormat="1" x14ac:dyDescent="0.25"/>
    <row r="31" spans="2:9" s="33" customFormat="1" x14ac:dyDescent="0.25">
      <c r="B31" s="18"/>
      <c r="C31" s="18"/>
      <c r="D31" s="18"/>
      <c r="E31" s="18"/>
      <c r="F31" s="18"/>
      <c r="G31" s="18"/>
      <c r="H31" s="18"/>
      <c r="I31" s="18"/>
    </row>
    <row r="32" spans="2:9" x14ac:dyDescent="0.25">
      <c r="B32" s="33" t="s">
        <v>102</v>
      </c>
      <c r="C32" s="33"/>
      <c r="D32" s="33"/>
      <c r="E32" s="33"/>
      <c r="F32" s="33"/>
      <c r="G32" s="33">
        <v>229400</v>
      </c>
      <c r="H32" s="33"/>
      <c r="I32" s="33"/>
    </row>
    <row r="37" spans="2:2" x14ac:dyDescent="0.25">
      <c r="B37" s="18" t="s">
        <v>45</v>
      </c>
    </row>
    <row r="38" spans="2:2" x14ac:dyDescent="0.25">
      <c r="B38" s="18" t="s">
        <v>101</v>
      </c>
    </row>
    <row r="39" spans="2:2" ht="14.4" x14ac:dyDescent="0.3">
      <c r="B39" s="35" t="s">
        <v>55</v>
      </c>
    </row>
  </sheetData>
  <hyperlinks>
    <hyperlink ref="B39" r:id="rId1" xr:uid="{B2A14C24-0212-4F6C-B610-12BD51531E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Management</vt:lpstr>
      <vt:lpstr>Model</vt:lpstr>
      <vt:lpstr>Industry</vt:lpstr>
      <vt:lpstr>Wines&amp;Spirit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Alexandre Duarte Morais</cp:lastModifiedBy>
  <dcterms:created xsi:type="dcterms:W3CDTF">2015-06-05T18:19:34Z</dcterms:created>
  <dcterms:modified xsi:type="dcterms:W3CDTF">2024-10-07T15:49:16Z</dcterms:modified>
</cp:coreProperties>
</file>