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608" documentId="8_{4AAFE53B-69DB-47B7-AE38-298FCDC4B04F}" xr6:coauthVersionLast="47" xr6:coauthVersionMax="47" xr10:uidLastSave="{3B38AF37-1FDE-43C1-B999-D6D0045FFE8D}"/>
  <bookViews>
    <workbookView xWindow="14295" yWindow="0" windowWidth="14610" windowHeight="15585" activeTab="1" xr2:uid="{248A442C-B1C9-42F8-9C26-9431703128C2}"/>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8" i="2" l="1"/>
  <c r="U23" i="2"/>
  <c r="U20" i="2"/>
  <c r="U19" i="2"/>
  <c r="U17" i="2"/>
  <c r="U14" i="2"/>
  <c r="N18" i="2"/>
  <c r="N28" i="2"/>
  <c r="I51" i="2"/>
  <c r="U9" i="2"/>
  <c r="V9" i="2" s="1"/>
  <c r="U32" i="2"/>
  <c r="T32" i="2"/>
  <c r="T3" i="2"/>
  <c r="U3" i="2" s="1"/>
  <c r="N3" i="2"/>
  <c r="N31" i="2" s="1"/>
  <c r="N23" i="2"/>
  <c r="L31" i="2"/>
  <c r="K31" i="2"/>
  <c r="M31" i="2"/>
  <c r="K32" i="2"/>
  <c r="J26" i="2"/>
  <c r="J24" i="2"/>
  <c r="J20" i="2"/>
  <c r="J19" i="2"/>
  <c r="J18" i="2"/>
  <c r="J16" i="2"/>
  <c r="J15" i="2"/>
  <c r="J12" i="2"/>
  <c r="N12" i="2" s="1"/>
  <c r="U12" i="2" s="1"/>
  <c r="J11" i="2"/>
  <c r="J14" i="2" s="1"/>
  <c r="J47" i="2" s="1"/>
  <c r="J9" i="2"/>
  <c r="N9" i="2" s="1"/>
  <c r="N32" i="2" s="1"/>
  <c r="R34" i="2"/>
  <c r="Q34" i="2"/>
  <c r="R33" i="2"/>
  <c r="Q33" i="2"/>
  <c r="R32" i="2"/>
  <c r="Q32" i="2"/>
  <c r="Q42" i="2"/>
  <c r="P42" i="2"/>
  <c r="P23" i="2"/>
  <c r="Q23" i="2"/>
  <c r="T34" i="2"/>
  <c r="S34" i="2"/>
  <c r="S33" i="2"/>
  <c r="T33" i="2"/>
  <c r="S32" i="2"/>
  <c r="T42" i="2"/>
  <c r="S42" i="2"/>
  <c r="R42" i="2"/>
  <c r="R23" i="2"/>
  <c r="S23" i="2"/>
  <c r="T23" i="2"/>
  <c r="T21" i="2"/>
  <c r="S21" i="2"/>
  <c r="R21" i="2"/>
  <c r="Q21" i="2"/>
  <c r="P21" i="2"/>
  <c r="T14" i="2"/>
  <c r="T17" i="2" s="1"/>
  <c r="T37" i="2" s="1"/>
  <c r="S14" i="2"/>
  <c r="S17" i="2" s="1"/>
  <c r="S37" i="2" s="1"/>
  <c r="R14" i="2"/>
  <c r="R17" i="2" s="1"/>
  <c r="R37" i="2" s="1"/>
  <c r="Q14" i="2"/>
  <c r="Q17" i="2" s="1"/>
  <c r="Q37" i="2" s="1"/>
  <c r="P14" i="2"/>
  <c r="P17" i="2" s="1"/>
  <c r="P37" i="2" s="1"/>
  <c r="S2" i="2"/>
  <c r="T2" i="2" s="1"/>
  <c r="U2" i="2" s="1"/>
  <c r="V2" i="2" s="1"/>
  <c r="W2" i="2" s="1"/>
  <c r="X2" i="2" s="1"/>
  <c r="Y2" i="2" s="1"/>
  <c r="Z2" i="2" s="1"/>
  <c r="AA2" i="2" s="1"/>
  <c r="AB2" i="2" s="1"/>
  <c r="K34" i="2"/>
  <c r="K33" i="2"/>
  <c r="G23" i="2"/>
  <c r="K23" i="2"/>
  <c r="L34" i="2"/>
  <c r="L33" i="2"/>
  <c r="L32" i="2"/>
  <c r="H41" i="2"/>
  <c r="I41" i="2" s="1"/>
  <c r="H40" i="2"/>
  <c r="I40" i="2" s="1"/>
  <c r="J40" i="2" s="1"/>
  <c r="J42" i="2" s="1"/>
  <c r="K42" i="2"/>
  <c r="G42" i="2"/>
  <c r="F42" i="2"/>
  <c r="E42" i="2"/>
  <c r="D42" i="2"/>
  <c r="C42" i="2"/>
  <c r="L41" i="2"/>
  <c r="M41" i="2" s="1"/>
  <c r="L40" i="2"/>
  <c r="M40" i="2" s="1"/>
  <c r="H23" i="2"/>
  <c r="L23" i="2"/>
  <c r="M32" i="2"/>
  <c r="M34" i="2"/>
  <c r="M33" i="2"/>
  <c r="I23" i="2"/>
  <c r="M23" i="2"/>
  <c r="L21" i="2"/>
  <c r="K21" i="2"/>
  <c r="I21" i="2"/>
  <c r="H21" i="2"/>
  <c r="G21" i="2"/>
  <c r="F21" i="2"/>
  <c r="E21" i="2"/>
  <c r="D21" i="2"/>
  <c r="C21" i="2"/>
  <c r="M21" i="2"/>
  <c r="L14" i="2"/>
  <c r="L17" i="2" s="1"/>
  <c r="L37" i="2" s="1"/>
  <c r="K14" i="2"/>
  <c r="K17" i="2" s="1"/>
  <c r="K37" i="2" s="1"/>
  <c r="I14" i="2"/>
  <c r="I17" i="2" s="1"/>
  <c r="I37" i="2" s="1"/>
  <c r="H14" i="2"/>
  <c r="H17" i="2" s="1"/>
  <c r="H37" i="2" s="1"/>
  <c r="G14" i="2"/>
  <c r="G17" i="2" s="1"/>
  <c r="G37" i="2" s="1"/>
  <c r="F14" i="2"/>
  <c r="F17" i="2" s="1"/>
  <c r="E14" i="2"/>
  <c r="E17" i="2" s="1"/>
  <c r="D14" i="2"/>
  <c r="D17" i="2" s="1"/>
  <c r="C14" i="2"/>
  <c r="C17" i="2" s="1"/>
  <c r="M14" i="2"/>
  <c r="M46" i="2" s="1"/>
  <c r="L6" i="1"/>
  <c r="L3" i="1" a="1"/>
  <c r="L3" i="1" s="1"/>
  <c r="L5" i="1" s="1"/>
  <c r="L8" i="1" s="1"/>
  <c r="L51" i="2" l="1"/>
  <c r="L52" i="2" s="1"/>
  <c r="K51" i="2"/>
  <c r="M51" i="2"/>
  <c r="J51" i="2"/>
  <c r="U31" i="2"/>
  <c r="V3" i="2"/>
  <c r="V32" i="2"/>
  <c r="W9" i="2"/>
  <c r="G51" i="2"/>
  <c r="J52" i="2" s="1"/>
  <c r="T51" i="2"/>
  <c r="H51" i="2"/>
  <c r="K52" i="2" s="1"/>
  <c r="P46" i="2"/>
  <c r="S45" i="2"/>
  <c r="R46" i="2"/>
  <c r="T46" i="2"/>
  <c r="J45" i="2"/>
  <c r="H45" i="2"/>
  <c r="H46" i="2"/>
  <c r="V12" i="2"/>
  <c r="W12" i="2" s="1"/>
  <c r="X12" i="2" s="1"/>
  <c r="Y12" i="2" s="1"/>
  <c r="Z12" i="2" s="1"/>
  <c r="AA12" i="2" s="1"/>
  <c r="AB12" i="2" s="1"/>
  <c r="U34" i="2"/>
  <c r="Q47" i="2"/>
  <c r="J46" i="2"/>
  <c r="L47" i="2"/>
  <c r="S47" i="2"/>
  <c r="N11" i="2"/>
  <c r="U11" i="2" s="1"/>
  <c r="I45" i="2"/>
  <c r="L46" i="2"/>
  <c r="M47" i="2"/>
  <c r="Q46" i="2"/>
  <c r="T47" i="2"/>
  <c r="M45" i="2"/>
  <c r="K45" i="2"/>
  <c r="G47" i="2"/>
  <c r="P45" i="2"/>
  <c r="S46" i="2"/>
  <c r="L45" i="2"/>
  <c r="H47" i="2"/>
  <c r="Q45" i="2"/>
  <c r="K46" i="2"/>
  <c r="G46" i="2"/>
  <c r="I47" i="2"/>
  <c r="R45" i="2"/>
  <c r="P47" i="2"/>
  <c r="G45" i="2"/>
  <c r="I46" i="2"/>
  <c r="K47" i="2"/>
  <c r="T45" i="2"/>
  <c r="R47" i="2"/>
  <c r="Q35" i="2"/>
  <c r="J23" i="2"/>
  <c r="R35" i="2"/>
  <c r="J21" i="2"/>
  <c r="S35" i="2"/>
  <c r="L35" i="2"/>
  <c r="K35" i="2"/>
  <c r="T35" i="2"/>
  <c r="J17" i="2"/>
  <c r="Q22" i="2"/>
  <c r="S22" i="2"/>
  <c r="R22" i="2"/>
  <c r="T22" i="2"/>
  <c r="P22" i="2"/>
  <c r="I42" i="2"/>
  <c r="L43" i="2" s="1"/>
  <c r="L42" i="2"/>
  <c r="M43" i="2" s="1"/>
  <c r="H42" i="2"/>
  <c r="H22" i="2"/>
  <c r="G22" i="2"/>
  <c r="D22" i="2"/>
  <c r="D25" i="2" s="1"/>
  <c r="D27" i="2" s="1"/>
  <c r="C22" i="2"/>
  <c r="C25" i="2" s="1"/>
  <c r="C27" i="2" s="1"/>
  <c r="K22" i="2"/>
  <c r="L22" i="2"/>
  <c r="M42" i="2"/>
  <c r="E22" i="2"/>
  <c r="E25" i="2" s="1"/>
  <c r="E27" i="2" s="1"/>
  <c r="M35" i="2"/>
  <c r="F22" i="2"/>
  <c r="F25" i="2" s="1"/>
  <c r="F27" i="2" s="1"/>
  <c r="M17" i="2"/>
  <c r="I22" i="2"/>
  <c r="M52" i="2" l="1"/>
  <c r="U51" i="2"/>
  <c r="U52" i="2" s="1"/>
  <c r="X9" i="2"/>
  <c r="W32" i="2"/>
  <c r="W3" i="2"/>
  <c r="V31" i="2"/>
  <c r="J43" i="2"/>
  <c r="K43" i="2"/>
  <c r="W34" i="2"/>
  <c r="V34" i="2"/>
  <c r="N14" i="2"/>
  <c r="X34" i="2"/>
  <c r="P25" i="2"/>
  <c r="P27" i="2" s="1"/>
  <c r="P29" i="2" s="1"/>
  <c r="P38" i="2"/>
  <c r="G25" i="2"/>
  <c r="G27" i="2" s="1"/>
  <c r="G29" i="2" s="1"/>
  <c r="G38" i="2"/>
  <c r="H25" i="2"/>
  <c r="H27" i="2" s="1"/>
  <c r="H29" i="2" s="1"/>
  <c r="H38" i="2"/>
  <c r="T25" i="2"/>
  <c r="T27" i="2" s="1"/>
  <c r="T29" i="2" s="1"/>
  <c r="T38" i="2"/>
  <c r="R25" i="2"/>
  <c r="R27" i="2" s="1"/>
  <c r="R29" i="2" s="1"/>
  <c r="R38" i="2"/>
  <c r="K25" i="2"/>
  <c r="K27" i="2" s="1"/>
  <c r="K29" i="2" s="1"/>
  <c r="K38" i="2"/>
  <c r="J22" i="2"/>
  <c r="J37" i="2"/>
  <c r="S25" i="2"/>
  <c r="S27" i="2" s="1"/>
  <c r="S29" i="2" s="1"/>
  <c r="S38" i="2"/>
  <c r="L25" i="2"/>
  <c r="L27" i="2" s="1"/>
  <c r="L29" i="2" s="1"/>
  <c r="L38" i="2"/>
  <c r="Q25" i="2"/>
  <c r="Q27" i="2" s="1"/>
  <c r="Q29" i="2" s="1"/>
  <c r="Q38" i="2"/>
  <c r="I25" i="2"/>
  <c r="I27" i="2" s="1"/>
  <c r="I29" i="2" s="1"/>
  <c r="I38" i="2"/>
  <c r="M22" i="2"/>
  <c r="M37" i="2"/>
  <c r="X3" i="2" l="1"/>
  <c r="W31" i="2"/>
  <c r="N35" i="2"/>
  <c r="N17" i="2"/>
  <c r="N20" i="2"/>
  <c r="N47" i="2" s="1"/>
  <c r="N19" i="2"/>
  <c r="N46" i="2" s="1"/>
  <c r="N51" i="2"/>
  <c r="N52" i="2" s="1"/>
  <c r="Y9" i="2"/>
  <c r="X32" i="2"/>
  <c r="V11" i="2"/>
  <c r="U33" i="2"/>
  <c r="N37" i="2"/>
  <c r="Y34" i="2"/>
  <c r="J25" i="2"/>
  <c r="J27" i="2" s="1"/>
  <c r="J38" i="2"/>
  <c r="M25" i="2"/>
  <c r="M27" i="2" s="1"/>
  <c r="M29" i="2" s="1"/>
  <c r="M38" i="2"/>
  <c r="N21" i="2" l="1"/>
  <c r="N22" i="2" s="1"/>
  <c r="N45" i="2"/>
  <c r="Y32" i="2"/>
  <c r="Z9" i="2"/>
  <c r="Y3" i="2"/>
  <c r="X31" i="2"/>
  <c r="W11" i="2"/>
  <c r="V33" i="2"/>
  <c r="V14" i="2"/>
  <c r="V17" i="2" s="1"/>
  <c r="N25" i="2"/>
  <c r="N38" i="2"/>
  <c r="U35" i="2"/>
  <c r="U37" i="2"/>
  <c r="U46" i="2"/>
  <c r="Z34" i="2"/>
  <c r="Z32" i="2" l="1"/>
  <c r="AA9" i="2"/>
  <c r="Z3" i="2"/>
  <c r="Y31" i="2"/>
  <c r="V20" i="2"/>
  <c r="V51" i="2"/>
  <c r="V52" i="2" s="1"/>
  <c r="N26" i="2"/>
  <c r="N27" i="2" s="1"/>
  <c r="N29" i="2" s="1"/>
  <c r="U45" i="2"/>
  <c r="U21" i="2"/>
  <c r="U22" i="2" s="1"/>
  <c r="W33" i="2"/>
  <c r="X11" i="2"/>
  <c r="W14" i="2"/>
  <c r="W17" i="2" s="1"/>
  <c r="U47" i="2"/>
  <c r="V18" i="2"/>
  <c r="V37" i="2"/>
  <c r="V35" i="2"/>
  <c r="V19" i="2"/>
  <c r="V46" i="2" s="1"/>
  <c r="AA34" i="2"/>
  <c r="AA3" i="2" l="1"/>
  <c r="Z31" i="2"/>
  <c r="AB9" i="2"/>
  <c r="AB32" i="2" s="1"/>
  <c r="AA32" i="2"/>
  <c r="W19" i="2"/>
  <c r="W46" i="2" s="1"/>
  <c r="W18" i="2"/>
  <c r="W51" i="2"/>
  <c r="W52" i="2" s="1"/>
  <c r="W20" i="2"/>
  <c r="V47" i="2"/>
  <c r="W35" i="2"/>
  <c r="W37" i="2"/>
  <c r="X33" i="2"/>
  <c r="Y11" i="2"/>
  <c r="X14" i="2"/>
  <c r="X17" i="2" s="1"/>
  <c r="V21" i="2"/>
  <c r="V22" i="2" s="1"/>
  <c r="V45" i="2"/>
  <c r="U25" i="2"/>
  <c r="U26" i="2" s="1"/>
  <c r="U27" i="2" s="1"/>
  <c r="U38" i="2"/>
  <c r="AB34" i="2"/>
  <c r="AB3" i="2" l="1"/>
  <c r="AB31" i="2" s="1"/>
  <c r="AA31" i="2"/>
  <c r="X19" i="2"/>
  <c r="X20" i="2"/>
  <c r="X51" i="2"/>
  <c r="X52" i="2" s="1"/>
  <c r="W47" i="2"/>
  <c r="Y33" i="2"/>
  <c r="Z11" i="2"/>
  <c r="Y14" i="2"/>
  <c r="Y17" i="2" s="1"/>
  <c r="U29" i="2"/>
  <c r="U49" i="2"/>
  <c r="X37" i="2"/>
  <c r="X18" i="2"/>
  <c r="X35" i="2"/>
  <c r="X46" i="2"/>
  <c r="W45" i="2"/>
  <c r="W21" i="2"/>
  <c r="W22" i="2" s="1"/>
  <c r="W38" i="2" s="1"/>
  <c r="V38" i="2"/>
  <c r="Y20" i="2" l="1"/>
  <c r="Y19" i="2"/>
  <c r="Y51" i="2"/>
  <c r="Y52" i="2" s="1"/>
  <c r="AA11" i="2"/>
  <c r="Z33" i="2"/>
  <c r="Z14" i="2"/>
  <c r="Z17" i="2" s="1"/>
  <c r="V23" i="2"/>
  <c r="V25" i="2" s="1"/>
  <c r="V26" i="2" s="1"/>
  <c r="V27" i="2" s="1"/>
  <c r="V29" i="2" s="1"/>
  <c r="Y35" i="2"/>
  <c r="Y37" i="2"/>
  <c r="Y46" i="2"/>
  <c r="Y18" i="2"/>
  <c r="X21" i="2"/>
  <c r="X22" i="2" s="1"/>
  <c r="X38" i="2" s="1"/>
  <c r="X45" i="2"/>
  <c r="X47" i="2"/>
  <c r="Z19" i="2" l="1"/>
  <c r="Z51" i="2"/>
  <c r="Z52" i="2" s="1"/>
  <c r="Z20" i="2"/>
  <c r="V49" i="2"/>
  <c r="W23" i="2" s="1"/>
  <c r="W25" i="2" s="1"/>
  <c r="W26" i="2" s="1"/>
  <c r="W27" i="2" s="1"/>
  <c r="W29" i="2" s="1"/>
  <c r="Z37" i="2"/>
  <c r="Z18" i="2"/>
  <c r="Z46" i="2"/>
  <c r="Z35" i="2"/>
  <c r="Y47" i="2"/>
  <c r="Y21" i="2"/>
  <c r="Y22" i="2" s="1"/>
  <c r="Y38" i="2" s="1"/>
  <c r="Y45" i="2"/>
  <c r="AA33" i="2"/>
  <c r="AB11" i="2"/>
  <c r="AA14" i="2"/>
  <c r="AA17" i="2" s="1"/>
  <c r="AA19" i="2" l="1"/>
  <c r="AA20" i="2"/>
  <c r="AA51" i="2"/>
  <c r="AA52" i="2" s="1"/>
  <c r="W49" i="2"/>
  <c r="X23" i="2" s="1"/>
  <c r="X25" i="2" s="1"/>
  <c r="X26" i="2" s="1"/>
  <c r="X27" i="2" s="1"/>
  <c r="X29" i="2" s="1"/>
  <c r="Z47" i="2"/>
  <c r="AA18" i="2"/>
  <c r="AA45" i="2" s="1"/>
  <c r="AA35" i="2"/>
  <c r="AB33" i="2"/>
  <c r="AB14" i="2"/>
  <c r="AB17" i="2" s="1"/>
  <c r="Z45" i="2"/>
  <c r="Z21" i="2"/>
  <c r="Z22" i="2" s="1"/>
  <c r="Z38" i="2" s="1"/>
  <c r="AB19" i="2" l="1"/>
  <c r="AB51" i="2"/>
  <c r="AB52" i="2" s="1"/>
  <c r="AB20" i="2"/>
  <c r="X49" i="2"/>
  <c r="Y23" i="2" s="1"/>
  <c r="Y25" i="2" s="1"/>
  <c r="Y26" i="2" s="1"/>
  <c r="Y27" i="2" s="1"/>
  <c r="Y29" i="2" s="1"/>
  <c r="AB18" i="2"/>
  <c r="AB35" i="2"/>
  <c r="AB46" i="2"/>
  <c r="AB37" i="2"/>
  <c r="AA21" i="2"/>
  <c r="AA46" i="2"/>
  <c r="AA22" i="2"/>
  <c r="AA38" i="2" s="1"/>
  <c r="AA37" i="2"/>
  <c r="AB47" i="2"/>
  <c r="AA47" i="2"/>
  <c r="AB45" i="2" l="1"/>
  <c r="AB21" i="2"/>
  <c r="AB22" i="2" s="1"/>
  <c r="AB38" i="2" s="1"/>
  <c r="Y49" i="2"/>
  <c r="Z23" i="2" l="1"/>
  <c r="Z25" i="2" s="1"/>
  <c r="Z26" i="2" s="1"/>
  <c r="Z27" i="2" s="1"/>
  <c r="Z29" i="2" l="1"/>
  <c r="Z49" i="2"/>
  <c r="AA23" i="2" s="1"/>
  <c r="AA25" i="2" s="1"/>
  <c r="AA26" i="2" l="1"/>
  <c r="AA27" i="2" s="1"/>
  <c r="AA29" i="2" s="1"/>
  <c r="AA49" i="2" l="1"/>
  <c r="AB23" i="2" l="1"/>
  <c r="AB25" i="2" s="1"/>
  <c r="AB26" i="2" s="1"/>
  <c r="AB27" i="2" s="1"/>
  <c r="AB49" i="2" l="1"/>
  <c r="AB29" i="2"/>
  <c r="AC27" i="2"/>
  <c r="AD27" i="2" s="1"/>
  <c r="AE27" i="2" s="1"/>
  <c r="AF27" i="2" s="1"/>
  <c r="AG27" i="2" s="1"/>
  <c r="AH27" i="2" s="1"/>
  <c r="AI27" i="2" s="1"/>
  <c r="AJ27" i="2" s="1"/>
  <c r="AK27" i="2" s="1"/>
  <c r="AL27" i="2" s="1"/>
  <c r="AM27" i="2" s="1"/>
  <c r="AN27" i="2" s="1"/>
  <c r="AO27" i="2" s="1"/>
  <c r="AP27" i="2" s="1"/>
  <c r="AQ27" i="2" s="1"/>
  <c r="AR27" i="2" s="1"/>
  <c r="AS27" i="2" s="1"/>
  <c r="AT27" i="2" s="1"/>
  <c r="AU27" i="2" s="1"/>
  <c r="AV27" i="2" s="1"/>
  <c r="AW27" i="2" s="1"/>
  <c r="AX27" i="2" s="1"/>
  <c r="AY27" i="2" s="1"/>
  <c r="AZ27" i="2" s="1"/>
  <c r="BA27" i="2" s="1"/>
  <c r="BB27" i="2" s="1"/>
  <c r="BC27" i="2" s="1"/>
  <c r="BD27" i="2" s="1"/>
  <c r="BE27" i="2" s="1"/>
  <c r="BF27" i="2" s="1"/>
  <c r="BG27" i="2" s="1"/>
  <c r="BH27" i="2" s="1"/>
  <c r="BI27" i="2" s="1"/>
  <c r="BJ27" i="2" s="1"/>
  <c r="BK27" i="2" s="1"/>
  <c r="BL27" i="2" s="1"/>
  <c r="BM27" i="2" s="1"/>
  <c r="BN27" i="2" s="1"/>
  <c r="BO27" i="2" s="1"/>
  <c r="BP27" i="2" s="1"/>
  <c r="BQ27" i="2" s="1"/>
  <c r="BR27" i="2" s="1"/>
  <c r="AE33" i="2" l="1"/>
  <c r="AE3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<sst xmlns="http://schemas.openxmlformats.org/spreadsheetml/2006/main" count="81" uniqueCount="77">
  <si>
    <t>Ticket</t>
  </si>
  <si>
    <t>Price</t>
  </si>
  <si>
    <t>Shares</t>
  </si>
  <si>
    <t>MC</t>
  </si>
  <si>
    <t>Cash</t>
  </si>
  <si>
    <t>Debt</t>
  </si>
  <si>
    <t>EV</t>
  </si>
  <si>
    <t>Subscription</t>
  </si>
  <si>
    <t>Services</t>
  </si>
  <si>
    <t>Q1 2023</t>
  </si>
  <si>
    <t>Q2 2023</t>
  </si>
  <si>
    <t>Q3 2023</t>
  </si>
  <si>
    <t>Q4 2023</t>
  </si>
  <si>
    <t>Q1 2024</t>
  </si>
  <si>
    <t>Q2 2024</t>
  </si>
  <si>
    <t>Q3 2024</t>
  </si>
  <si>
    <t>Q4 2024</t>
  </si>
  <si>
    <t>Revenue</t>
  </si>
  <si>
    <t>Q1 2025</t>
  </si>
  <si>
    <t>Q2 2025</t>
  </si>
  <si>
    <t>Q3 2025</t>
  </si>
  <si>
    <t>COGS Subs</t>
  </si>
  <si>
    <t>COGS Services</t>
  </si>
  <si>
    <t>Gross Profit</t>
  </si>
  <si>
    <t>S&amp;M</t>
  </si>
  <si>
    <t>R&amp;D</t>
  </si>
  <si>
    <t>G&amp;A</t>
  </si>
  <si>
    <t>Total Opex</t>
  </si>
  <si>
    <t>Operating Income</t>
  </si>
  <si>
    <t>Net interest</t>
  </si>
  <si>
    <t>Other income</t>
  </si>
  <si>
    <t>Pretax Income</t>
  </si>
  <si>
    <t>Taxes</t>
  </si>
  <si>
    <t>Net Income</t>
  </si>
  <si>
    <t>EPS</t>
  </si>
  <si>
    <t>main</t>
  </si>
  <si>
    <t>Subscription y/y</t>
  </si>
  <si>
    <t>Services y/y</t>
  </si>
  <si>
    <t>Revenue y/y</t>
  </si>
  <si>
    <t>Gross Margin</t>
  </si>
  <si>
    <t>Operating Margin</t>
  </si>
  <si>
    <t>CFFO</t>
  </si>
  <si>
    <t>CAPEX</t>
  </si>
  <si>
    <t>FCF</t>
  </si>
  <si>
    <t>Founded</t>
  </si>
  <si>
    <t>Founder</t>
  </si>
  <si>
    <t>CEO</t>
  </si>
  <si>
    <t>HQ</t>
  </si>
  <si>
    <t>IPO</t>
  </si>
  <si>
    <t>Industry</t>
  </si>
  <si>
    <t>New York</t>
  </si>
  <si>
    <t>DBaaS</t>
  </si>
  <si>
    <t>Americas</t>
  </si>
  <si>
    <t>EMEA</t>
  </si>
  <si>
    <t>AP</t>
  </si>
  <si>
    <t>Atlas</t>
  </si>
  <si>
    <t>S&amp;M %</t>
  </si>
  <si>
    <t>R&amp;D %</t>
  </si>
  <si>
    <t>G&amp;A %</t>
  </si>
  <si>
    <t>Discount</t>
  </si>
  <si>
    <t>Maturity</t>
  </si>
  <si>
    <t>ROIC</t>
  </si>
  <si>
    <t>NPV</t>
  </si>
  <si>
    <t>Net Cash</t>
  </si>
  <si>
    <t>Q4 2025</t>
  </si>
  <si>
    <t>Customers</t>
  </si>
  <si>
    <t>SQL DB</t>
  </si>
  <si>
    <t>NSQL DB</t>
  </si>
  <si>
    <t>Mongo DB, Couchbase, Amazon DynamoDB</t>
  </si>
  <si>
    <t>Oracle, Snowflake</t>
  </si>
  <si>
    <t>Dwight Merriman, Eliot Horowitz. Kevin P. Ryan</t>
  </si>
  <si>
    <t>Dev Ittycheria</t>
  </si>
  <si>
    <t>Insiders</t>
  </si>
  <si>
    <t>TTM FCF</t>
  </si>
  <si>
    <t>Revenue per customer</t>
  </si>
  <si>
    <t>y/y</t>
  </si>
  <si>
    <t>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</si>
</sst>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409]* #,##0.00_);_([$$-409]* \(#,##0.00\);_([$$-409]* &quot;-&quot;??_);_(@_)"/>
    <numFmt numFmtId="165" formatCode="_-[$$-409]* #,##0.00_ ;_-[$$-409]* \-#,##0.00\ ;_-[$$-409]* &quot;-&quot;??_ ;_-@_ "/>
    <numFmt numFmtId="166" formatCode="0.0%"/>
    <numFmt numFmtId="167" formatCode="#,##0_ ;[Red]\-#,##0\ "/>
    <numFmt numFmtId="168" formatCode="[$$-409]#,##0.00"/>
    <numFmt numFmtId="169" formatCode="0.000"/>
  </numFmts>
  <fonts count="4"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xf numFmtId="3" fontId="2" fillId="0" borderId="0" xfId="0" applyNumberFormat="1" applyFont="1"/>
    <xf numFmtId="0" fontId="3" fillId="0" borderId="0" xfId="1"/>
    <xf numFmtId="165" fontId="1" fillId="0" borderId="0" xfId="0" applyNumberFormat="1" applyFont="1"/>
    <xf numFmtId="9" fontId="1" fillId="0" borderId="0" xfId="0" applyNumberFormat="1" applyFont="1"/>
    <xf numFmtId="9" fontId="2"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0" fontId="1" fillId="0" borderId="0" xfId="0" applyNumberFormat="1" applyFont="1"/>
    <xf numFmtId="16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19</xdr:col>
      <xdr:colOff>594360</xdr:colOff>
      <xdr:row>0</xdr:row>
      <xdr:rowOff>22860</xdr:rowOff>
    </xdr:from>
    <xdr:to>
      <xdr:col>19</xdr:col>
      <xdr:colOff>601980</xdr:colOff>
      <xdr:row>45</xdr:row>
      <xdr:rowOff>38100</xdr:rowOff>
    </xdr:to>
    <xdr:cxnSp macro="">
      <xdr:nvCxnSpPr>
        <xdr:cNvPr id="3" name="Straight Connector 2">
          <a:extLst>
            <a:ext uri="{FF2B5EF4-FFF2-40B4-BE49-F238E27FC236}">
              <a16:creationId xmlns:a16="http://schemas.microsoft.com/office/drawing/2014/main" id="{E7DDB505-9379-5A5C-613A-1B05810835E7}"/>
            </a:ext>
          </a:extLst>
        </xdr:cNvPr>
        <xdr:cNvCxnSpPr/>
      </xdr:nvCxnSpPr>
      <xdr:spPr>
        <a:xfrm>
          <a:off x="11757660" y="22860"/>
          <a:ext cx="7620" cy="69037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7620</xdr:colOff>
      <xdr:row>0</xdr:row>
      <xdr:rowOff>0</xdr:rowOff>
    </xdr:from>
    <xdr:to>
      <xdr:col>13</xdr:col>
      <xdr:colOff>15240</xdr:colOff>
      <xdr:row>45</xdr:row>
      <xdr:rowOff>15240</xdr:rowOff>
    </xdr:to>
    <xdr:cxnSp macro="">
      <xdr:nvCxnSpPr>
        <xdr:cNvPr id="5" name="Straight Connector 4">
          <a:extLst>
            <a:ext uri="{FF2B5EF4-FFF2-40B4-BE49-F238E27FC236}">
              <a16:creationId xmlns:a16="http://schemas.microsoft.com/office/drawing/2014/main" id="{AA0AFC0D-F19C-4C20-9696-94B6B5725A49}"/>
            </a:ext>
          </a:extLst>
        </xdr:cNvPr>
        <xdr:cNvCxnSpPr/>
      </xdr:nvCxnSpPr>
      <xdr:spPr>
        <a:xfrm>
          <a:off x="8122920" y="0"/>
          <a:ext cx="7620" cy="69037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en-GB</v>
    <v>a1xf1h</v>
    <v>268435456</v>
    <v>1</v>
    <v>Powered by Refinitiv</v>
    <v>0</v>
    <v>MONGODB, INC. (XNAS:MDB)</v>
    <v>3</v>
    <v>4</v>
    <v>Finance</v>
    <v>5</v>
    <v>509.62</v>
    <v>212.74</v>
    <v>1.2217</v>
    <v>-5.15</v>
    <v>-2.9369999999999998E-4</v>
    <v>-2.1150000000000002E-2</v>
    <v>-7.0000000000000007E-2</v>
    <v>USD</v>
    <v>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v>
    <v>5037</v>
    <v>Nasdaq Stock Market</v>
    <v>XNAS</v>
    <v>XNAS</v>
    <v>1633 Broadway Fl 38, NEW YORK, NY, 10019-6763 US</v>
    <v>244.8</v>
    <v>3</v>
    <v>Software &amp; IT Services</v>
    <v>Stock</v>
    <v>45654.03971168906</v>
    <v>4</v>
    <v>234.07</v>
    <v>17750067510</v>
    <v>MONGODB, INC.</v>
    <v>MONGODB, INC.</v>
    <v>242.91</v>
    <v>0</v>
    <v>243.5</v>
    <v>238.35</v>
    <v>238.28</v>
    <v>74470600</v>
    <v>MDB</v>
    <v>MONGODB, INC. (XNAS:MDB)</v>
    <v>2776316</v>
    <v>2744255</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8BA6B-CEBA-4E80-975B-0B80A2B62D34}">
  <dimension ref="B2:L15"/>
  <sheetViews>
    <sheetView workbookViewId="0">
      <selection activeCell="B12" sqref="B12"/>
    </sheetView>
  </sheetViews>
  <sheetFormatPr defaultColWidth="8.85546875" defaultRowHeight="12.75" x14ac:dyDescent="0.2"/>
  <cols>
    <col min="1" max="16384" width="8.85546875" style="1"/>
  </cols>
  <sheetData>
    <row r="2" spans="2:12" x14ac:dyDescent="0.2">
      <c r="B2" s="4" t="s">
        <v>44</v>
      </c>
      <c r="C2" s="1">
        <v>2007</v>
      </c>
      <c r="K2" s="4" t="s">
        <v>0</v>
      </c>
      <c r="L2" s="1" t="e" vm="1">
        <v>#VALUE!</v>
      </c>
    </row>
    <row r="3" spans="2:12" x14ac:dyDescent="0.2">
      <c r="B3" s="4" t="s">
        <v>45</v>
      </c>
      <c r="C3" s="1" t="s">
        <v>70</v>
      </c>
      <c r="K3" s="4" t="s">
        <v>1</v>
      </c>
      <c r="L3" s="2" cm="1">
        <f t="array" aca="1" ref="L3" ca="1">+_FV(L2,"Price")</f>
        <v>238.35</v>
      </c>
    </row>
    <row r="4" spans="2:12" x14ac:dyDescent="0.2">
      <c r="B4" s="4" t="s">
        <v>46</v>
      </c>
      <c r="C4" s="1" t="s">
        <v>71</v>
      </c>
      <c r="K4" s="4" t="s">
        <v>2</v>
      </c>
      <c r="L4" s="1">
        <v>74.470596</v>
      </c>
    </row>
    <row r="5" spans="2:12" x14ac:dyDescent="0.2">
      <c r="B5" s="4" t="s">
        <v>47</v>
      </c>
      <c r="C5" s="1" t="s">
        <v>50</v>
      </c>
      <c r="K5" s="4" t="s">
        <v>3</v>
      </c>
      <c r="L5" s="3">
        <f ca="1">+L3*L4</f>
        <v>17750.066556599999</v>
      </c>
    </row>
    <row r="6" spans="2:12" x14ac:dyDescent="0.2">
      <c r="B6" s="4" t="s">
        <v>48</v>
      </c>
      <c r="C6" s="1">
        <v>2017</v>
      </c>
      <c r="K6" s="4" t="s">
        <v>4</v>
      </c>
      <c r="L6" s="3">
        <f>673.054+1629.038</f>
        <v>2302.0920000000001</v>
      </c>
    </row>
    <row r="7" spans="2:12" x14ac:dyDescent="0.2">
      <c r="B7" s="4" t="s">
        <v>49</v>
      </c>
      <c r="C7" s="1" t="s">
        <v>51</v>
      </c>
      <c r="K7" s="4" t="s">
        <v>5</v>
      </c>
      <c r="L7" s="3">
        <v>1124.72</v>
      </c>
    </row>
    <row r="8" spans="2:12" x14ac:dyDescent="0.2">
      <c r="B8" s="4" t="s">
        <v>72</v>
      </c>
      <c r="C8" s="13">
        <v>3.2599999999999997E-2</v>
      </c>
      <c r="K8" s="4" t="s">
        <v>6</v>
      </c>
      <c r="L8" s="3">
        <f ca="1">+L5-L6+L7</f>
        <v>16572.694556599999</v>
      </c>
    </row>
    <row r="11" spans="2:12" x14ac:dyDescent="0.2">
      <c r="B11" s="4" t="s">
        <v>66</v>
      </c>
    </row>
    <row r="12" spans="2:12" x14ac:dyDescent="0.2">
      <c r="B12" s="1" t="s">
        <v>69</v>
      </c>
    </row>
    <row r="14" spans="2:12" x14ac:dyDescent="0.2">
      <c r="B14" s="4" t="s">
        <v>67</v>
      </c>
    </row>
    <row r="15" spans="2:12" x14ac:dyDescent="0.2">
      <c r="B15" s="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58E45-8DDF-4068-86C5-1E120F8B706E}">
  <dimension ref="A1:BR54"/>
  <sheetViews>
    <sheetView tabSelected="1" zoomScale="85" zoomScaleNormal="85" workbookViewId="0">
      <pane xSplit="2" ySplit="2" topLeftCell="M4" activePane="bottomRight" state="frozen"/>
      <selection pane="topRight" activeCell="C1" sqref="C1"/>
      <selection pane="bottomLeft" activeCell="A3" sqref="A3"/>
      <selection pane="bottomRight" activeCell="U49" sqref="U49"/>
    </sheetView>
  </sheetViews>
  <sheetFormatPr defaultColWidth="8.85546875" defaultRowHeight="12.75" x14ac:dyDescent="0.2"/>
  <cols>
    <col min="1" max="1" width="5" style="1" bestFit="1" customWidth="1"/>
    <col min="2" max="2" width="20" style="1" bestFit="1" customWidth="1"/>
    <col min="3" max="28" width="8.85546875" style="1"/>
    <col min="29" max="29" width="10.7109375" style="1" bestFit="1" customWidth="1"/>
    <col min="30" max="30" width="8.85546875" style="1"/>
    <col min="31" max="31" width="9" style="1" bestFit="1" customWidth="1"/>
    <col min="32" max="16384" width="8.85546875" style="1"/>
  </cols>
  <sheetData>
    <row r="1" spans="1:28" ht="15" x14ac:dyDescent="0.25">
      <c r="A1" s="6" t="s">
        <v>35</v>
      </c>
    </row>
    <row r="2" spans="1:28" x14ac:dyDescent="0.2">
      <c r="C2" s="4" t="s">
        <v>9</v>
      </c>
      <c r="D2" s="4" t="s">
        <v>10</v>
      </c>
      <c r="E2" s="4" t="s">
        <v>11</v>
      </c>
      <c r="F2" s="4" t="s">
        <v>12</v>
      </c>
      <c r="G2" s="4" t="s">
        <v>13</v>
      </c>
      <c r="H2" s="4" t="s">
        <v>14</v>
      </c>
      <c r="I2" s="4" t="s">
        <v>15</v>
      </c>
      <c r="J2" s="4" t="s">
        <v>16</v>
      </c>
      <c r="K2" s="4" t="s">
        <v>18</v>
      </c>
      <c r="L2" s="4" t="s">
        <v>19</v>
      </c>
      <c r="M2" s="4" t="s">
        <v>20</v>
      </c>
      <c r="N2" s="4" t="s">
        <v>64</v>
      </c>
      <c r="P2" s="4">
        <v>2020</v>
      </c>
      <c r="Q2" s="4">
        <v>2021</v>
      </c>
      <c r="R2" s="4">
        <v>2022</v>
      </c>
      <c r="S2" s="4">
        <f>+R2+1</f>
        <v>2023</v>
      </c>
      <c r="T2" s="4">
        <f t="shared" ref="T2:AB2" si="0">+S2+1</f>
        <v>2024</v>
      </c>
      <c r="U2" s="4">
        <f t="shared" si="0"/>
        <v>2025</v>
      </c>
      <c r="V2" s="4">
        <f t="shared" si="0"/>
        <v>2026</v>
      </c>
      <c r="W2" s="4">
        <f t="shared" si="0"/>
        <v>2027</v>
      </c>
      <c r="X2" s="4">
        <f t="shared" si="0"/>
        <v>2028</v>
      </c>
      <c r="Y2" s="4">
        <f t="shared" si="0"/>
        <v>2029</v>
      </c>
      <c r="Z2" s="4">
        <f t="shared" si="0"/>
        <v>2030</v>
      </c>
      <c r="AA2" s="4">
        <f t="shared" si="0"/>
        <v>2031</v>
      </c>
      <c r="AB2" s="4">
        <f t="shared" si="0"/>
        <v>2032</v>
      </c>
    </row>
    <row r="3" spans="1:28" x14ac:dyDescent="0.2">
      <c r="B3" s="1" t="s">
        <v>65</v>
      </c>
      <c r="C3" s="3"/>
      <c r="D3" s="3"/>
      <c r="E3" s="3"/>
      <c r="F3" s="3"/>
      <c r="G3" s="3">
        <v>43100</v>
      </c>
      <c r="H3" s="3">
        <v>45000</v>
      </c>
      <c r="I3" s="3">
        <v>46400</v>
      </c>
      <c r="J3" s="3">
        <v>47800</v>
      </c>
      <c r="K3" s="3">
        <v>49200</v>
      </c>
      <c r="L3" s="3">
        <v>50700</v>
      </c>
      <c r="M3" s="3">
        <v>52600</v>
      </c>
      <c r="N3" s="3">
        <f>+J3*1.13</f>
        <v>54013.999999999993</v>
      </c>
      <c r="O3" s="3"/>
      <c r="P3" s="3"/>
      <c r="Q3" s="3"/>
      <c r="R3" s="3"/>
      <c r="S3" s="3"/>
      <c r="T3" s="3">
        <f>+J3</f>
        <v>47800</v>
      </c>
      <c r="U3" s="3">
        <f>+T3*1.13</f>
        <v>54013.999999999993</v>
      </c>
      <c r="V3" s="3">
        <f t="shared" ref="V3:AB3" si="1">+U3*1.13</f>
        <v>61035.819999999985</v>
      </c>
      <c r="W3" s="3">
        <f t="shared" si="1"/>
        <v>68970.47659999998</v>
      </c>
      <c r="X3" s="3">
        <f t="shared" si="1"/>
        <v>77936.638557999977</v>
      </c>
      <c r="Y3" s="3">
        <f t="shared" si="1"/>
        <v>88068.401570539965</v>
      </c>
      <c r="Z3" s="3">
        <f t="shared" si="1"/>
        <v>99517.293774710153</v>
      </c>
      <c r="AA3" s="3">
        <f t="shared" si="1"/>
        <v>112454.54196542247</v>
      </c>
      <c r="AB3" s="3">
        <f t="shared" si="1"/>
        <v>127073.63242092737</v>
      </c>
    </row>
    <row r="4" spans="1:28" x14ac:dyDescent="0.2">
      <c r="C4" s="4"/>
      <c r="D4" s="4"/>
      <c r="E4" s="4"/>
      <c r="F4" s="4"/>
      <c r="G4" s="4"/>
      <c r="H4" s="4"/>
      <c r="I4" s="4"/>
      <c r="J4" s="4"/>
      <c r="K4" s="4"/>
      <c r="L4" s="4"/>
      <c r="M4" s="4"/>
      <c r="N4" s="4"/>
      <c r="P4" s="4"/>
      <c r="Q4" s="4"/>
      <c r="R4" s="4"/>
      <c r="S4" s="4"/>
      <c r="T4" s="4"/>
      <c r="U4" s="4"/>
      <c r="V4" s="4"/>
      <c r="W4" s="4"/>
      <c r="X4" s="4"/>
      <c r="Y4" s="4"/>
      <c r="Z4" s="4"/>
      <c r="AA4" s="4"/>
      <c r="AB4" s="4"/>
    </row>
    <row r="5" spans="1:28" x14ac:dyDescent="0.2">
      <c r="B5" s="1" t="s">
        <v>52</v>
      </c>
      <c r="C5" s="3"/>
      <c r="D5" s="3"/>
      <c r="E5" s="3"/>
      <c r="F5" s="3"/>
      <c r="G5" s="3"/>
      <c r="H5" s="3"/>
      <c r="I5" s="3"/>
      <c r="J5" s="3"/>
      <c r="K5" s="3"/>
      <c r="L5" s="3"/>
      <c r="M5" s="3"/>
      <c r="P5" s="3">
        <v>272.358</v>
      </c>
      <c r="Q5" s="3">
        <v>361.351</v>
      </c>
      <c r="R5" s="3">
        <v>527.08100000000002</v>
      </c>
      <c r="S5" s="3">
        <v>781.76300000000003</v>
      </c>
      <c r="T5" s="3">
        <v>1016.324</v>
      </c>
      <c r="U5" s="3"/>
      <c r="V5" s="3"/>
      <c r="W5" s="3"/>
      <c r="X5" s="3"/>
      <c r="Y5" s="3"/>
      <c r="Z5" s="3"/>
    </row>
    <row r="6" spans="1:28" x14ac:dyDescent="0.2">
      <c r="B6" s="1" t="s">
        <v>53</v>
      </c>
      <c r="C6" s="3"/>
      <c r="D6" s="3"/>
      <c r="E6" s="3"/>
      <c r="F6" s="3"/>
      <c r="G6" s="3"/>
      <c r="H6" s="3"/>
      <c r="I6" s="3"/>
      <c r="J6" s="3"/>
      <c r="K6" s="3"/>
      <c r="L6" s="3"/>
      <c r="M6" s="3"/>
      <c r="P6" s="3">
        <v>118.66</v>
      </c>
      <c r="Q6" s="3">
        <v>177.44800000000001</v>
      </c>
      <c r="R6" s="3">
        <v>257.846</v>
      </c>
      <c r="S6" s="3">
        <v>361.56599999999997</v>
      </c>
      <c r="T6" s="3">
        <v>469.08199999999999</v>
      </c>
      <c r="U6" s="3"/>
      <c r="V6" s="3"/>
      <c r="W6" s="3"/>
      <c r="X6" s="3"/>
      <c r="Y6" s="3"/>
      <c r="Z6" s="3"/>
    </row>
    <row r="7" spans="1:28" x14ac:dyDescent="0.2">
      <c r="B7" s="1" t="s">
        <v>54</v>
      </c>
      <c r="C7" s="3"/>
      <c r="D7" s="3"/>
      <c r="E7" s="3"/>
      <c r="F7" s="3"/>
      <c r="G7" s="3"/>
      <c r="H7" s="3"/>
      <c r="I7" s="3"/>
      <c r="J7" s="3"/>
      <c r="K7" s="3"/>
      <c r="L7" s="3"/>
      <c r="M7" s="3"/>
      <c r="P7" s="3">
        <v>30.702000000000002</v>
      </c>
      <c r="Q7" s="3">
        <v>51.581000000000003</v>
      </c>
      <c r="R7" s="3">
        <v>88.855000000000004</v>
      </c>
      <c r="S7" s="3">
        <v>140.71100000000001</v>
      </c>
      <c r="T7" s="3">
        <v>197.60499999999999</v>
      </c>
      <c r="U7" s="3"/>
      <c r="V7" s="3"/>
      <c r="W7" s="3"/>
      <c r="X7" s="3"/>
      <c r="Y7" s="3"/>
      <c r="Z7" s="3"/>
    </row>
    <row r="8" spans="1:28" x14ac:dyDescent="0.2">
      <c r="C8" s="3"/>
      <c r="D8" s="3"/>
      <c r="E8" s="3"/>
      <c r="F8" s="3"/>
      <c r="G8" s="3"/>
      <c r="H8" s="3"/>
      <c r="I8" s="3"/>
      <c r="J8" s="3"/>
      <c r="K8" s="3"/>
      <c r="L8" s="3"/>
      <c r="M8" s="3"/>
      <c r="P8" s="3"/>
      <c r="Q8" s="3"/>
      <c r="R8" s="3"/>
      <c r="S8" s="3"/>
      <c r="T8" s="3"/>
      <c r="U8" s="3"/>
      <c r="V8" s="3"/>
      <c r="W8" s="3"/>
      <c r="X8" s="3"/>
      <c r="Y8" s="3"/>
      <c r="Z8" s="3"/>
    </row>
    <row r="9" spans="1:28" x14ac:dyDescent="0.2">
      <c r="B9" s="1" t="s">
        <v>55</v>
      </c>
      <c r="C9" s="3"/>
      <c r="D9" s="3"/>
      <c r="E9" s="3"/>
      <c r="F9" s="3"/>
      <c r="G9" s="3">
        <v>237.756</v>
      </c>
      <c r="H9" s="3">
        <v>267.25799999999998</v>
      </c>
      <c r="I9" s="3">
        <v>286.85599999999999</v>
      </c>
      <c r="J9" s="3">
        <f>+T9-G9-H9-I9</f>
        <v>313.48100000000022</v>
      </c>
      <c r="K9" s="3">
        <v>313.85500000000002</v>
      </c>
      <c r="L9" s="3">
        <v>339.68299999999999</v>
      </c>
      <c r="M9" s="3">
        <v>362.60399999999998</v>
      </c>
      <c r="N9" s="3">
        <f>+J9*1.25</f>
        <v>391.85125000000028</v>
      </c>
      <c r="P9" s="3">
        <v>162.51</v>
      </c>
      <c r="Q9" s="3">
        <v>270.80500000000001</v>
      </c>
      <c r="R9" s="3">
        <v>492.28699999999998</v>
      </c>
      <c r="S9" s="3">
        <v>808.26300000000003</v>
      </c>
      <c r="T9" s="3">
        <v>1105.3510000000001</v>
      </c>
      <c r="U9" s="3">
        <f>+T9*1.3</f>
        <v>1436.9563000000003</v>
      </c>
      <c r="V9" s="3">
        <f>+U9*1.25</f>
        <v>1796.1953750000002</v>
      </c>
      <c r="W9" s="3">
        <f>+V9*1.2</f>
        <v>2155.4344500000002</v>
      </c>
      <c r="X9" s="3">
        <f t="shared" ref="X9:AB9" si="2">+W9*1.2</f>
        <v>2586.5213400000002</v>
      </c>
      <c r="Y9" s="3">
        <f t="shared" si="2"/>
        <v>3103.8256080000001</v>
      </c>
      <c r="Z9" s="3">
        <f t="shared" si="2"/>
        <v>3724.5907296</v>
      </c>
      <c r="AA9" s="3">
        <f t="shared" si="2"/>
        <v>4469.5088755199995</v>
      </c>
      <c r="AB9" s="3">
        <f t="shared" si="2"/>
        <v>5363.4106506239996</v>
      </c>
    </row>
    <row r="10" spans="1:28" x14ac:dyDescent="0.2">
      <c r="C10" s="4"/>
      <c r="D10" s="4"/>
      <c r="E10" s="4"/>
      <c r="F10" s="4"/>
      <c r="G10" s="4"/>
      <c r="H10" s="4"/>
      <c r="I10" s="4"/>
      <c r="J10" s="4"/>
      <c r="K10" s="4"/>
      <c r="L10" s="4"/>
      <c r="M10" s="4"/>
      <c r="N10" s="3"/>
      <c r="P10" s="3"/>
      <c r="Q10" s="3"/>
      <c r="R10" s="3"/>
      <c r="S10" s="3"/>
      <c r="T10" s="3"/>
      <c r="U10" s="3"/>
      <c r="V10" s="3"/>
      <c r="W10" s="3"/>
      <c r="X10" s="3"/>
      <c r="Y10" s="3"/>
      <c r="Z10" s="3"/>
    </row>
    <row r="11" spans="1:28" x14ac:dyDescent="0.2">
      <c r="B11" s="1" t="s">
        <v>7</v>
      </c>
      <c r="C11" s="3"/>
      <c r="D11" s="3"/>
      <c r="E11" s="3"/>
      <c r="F11" s="3"/>
      <c r="G11" s="3">
        <v>354.714</v>
      </c>
      <c r="H11" s="3">
        <v>409.334</v>
      </c>
      <c r="I11" s="3">
        <v>418.339</v>
      </c>
      <c r="J11" s="3">
        <f>+T11-G11-H11-I11</f>
        <v>444.93900000000002</v>
      </c>
      <c r="K11" s="3">
        <v>436.89600000000002</v>
      </c>
      <c r="L11" s="3">
        <v>463.80500000000001</v>
      </c>
      <c r="M11" s="3">
        <v>512.20500000000004</v>
      </c>
      <c r="N11" s="3">
        <f>+J11*1.22</f>
        <v>542.82558000000006</v>
      </c>
      <c r="P11" s="3">
        <v>399.82600000000002</v>
      </c>
      <c r="Q11" s="3">
        <v>565.34900000000005</v>
      </c>
      <c r="R11" s="3">
        <v>842.04700000000003</v>
      </c>
      <c r="S11" s="3">
        <v>1235.1220000000001</v>
      </c>
      <c r="T11" s="3">
        <v>1627.326</v>
      </c>
      <c r="U11" s="3">
        <f>+SUM(K11:N11)</f>
        <v>1955.7315800000001</v>
      </c>
      <c r="V11" s="3">
        <f>+U11*1.25</f>
        <v>2444.664475</v>
      </c>
      <c r="W11" s="3">
        <f t="shared" ref="W11" si="3">+V11*1.25</f>
        <v>3055.8305937499999</v>
      </c>
      <c r="X11" s="3">
        <f t="shared" ref="X11:Z11" si="4">+W11*1.2</f>
        <v>3666.9967124999998</v>
      </c>
      <c r="Y11" s="3">
        <f t="shared" si="4"/>
        <v>4400.3960549999993</v>
      </c>
      <c r="Z11" s="3">
        <f t="shared" si="4"/>
        <v>5280.4752659999986</v>
      </c>
      <c r="AA11" s="3">
        <f t="shared" ref="AA11:AB11" si="5">+Z11*1.2</f>
        <v>6336.5703191999983</v>
      </c>
      <c r="AB11" s="3">
        <f t="shared" si="5"/>
        <v>7603.8843830399974</v>
      </c>
    </row>
    <row r="12" spans="1:28" x14ac:dyDescent="0.2">
      <c r="B12" s="1" t="s">
        <v>8</v>
      </c>
      <c r="C12" s="3"/>
      <c r="D12" s="3"/>
      <c r="E12" s="3"/>
      <c r="F12" s="3"/>
      <c r="G12" s="3">
        <v>13.566000000000001</v>
      </c>
      <c r="H12" s="3">
        <v>14.457000000000001</v>
      </c>
      <c r="I12" s="3">
        <v>14.599</v>
      </c>
      <c r="J12" s="3">
        <f>+T12-G12-H12-I12</f>
        <v>13.062999999999999</v>
      </c>
      <c r="K12" s="3">
        <v>13.664999999999999</v>
      </c>
      <c r="L12" s="3">
        <v>14.304</v>
      </c>
      <c r="M12" s="3">
        <v>17.170000000000002</v>
      </c>
      <c r="N12" s="3">
        <f>+J12*1.18</f>
        <v>15.414339999999997</v>
      </c>
      <c r="P12" s="3">
        <v>21.893999999999998</v>
      </c>
      <c r="Q12" s="3">
        <v>25.030999999999999</v>
      </c>
      <c r="R12" s="3">
        <v>31.734999999999999</v>
      </c>
      <c r="S12" s="3">
        <v>48.917999999999999</v>
      </c>
      <c r="T12" s="3">
        <v>55.685000000000002</v>
      </c>
      <c r="U12" s="3">
        <f>+SUM(K12:N12)</f>
        <v>60.553339999999999</v>
      </c>
      <c r="V12" s="3">
        <f>+U12*1.1</f>
        <v>66.608674000000008</v>
      </c>
      <c r="W12" s="3">
        <f t="shared" ref="W12:AB12" si="6">+V12*1.1</f>
        <v>73.269541400000008</v>
      </c>
      <c r="X12" s="3">
        <f t="shared" si="6"/>
        <v>80.596495540000021</v>
      </c>
      <c r="Y12" s="3">
        <f t="shared" si="6"/>
        <v>88.656145094000024</v>
      </c>
      <c r="Z12" s="3">
        <f t="shared" si="6"/>
        <v>97.521759603400028</v>
      </c>
      <c r="AA12" s="3">
        <f t="shared" si="6"/>
        <v>107.27393556374004</v>
      </c>
      <c r="AB12" s="3">
        <f t="shared" si="6"/>
        <v>118.00132912011405</v>
      </c>
    </row>
    <row r="13" spans="1:28" x14ac:dyDescent="0.2">
      <c r="C13" s="3"/>
      <c r="D13" s="3"/>
      <c r="E13" s="3"/>
      <c r="F13" s="3"/>
      <c r="G13" s="3"/>
      <c r="H13" s="3"/>
      <c r="I13" s="3"/>
      <c r="J13" s="3"/>
      <c r="K13" s="3"/>
      <c r="L13" s="3"/>
      <c r="M13" s="3"/>
      <c r="N13" s="3"/>
    </row>
    <row r="14" spans="1:28" x14ac:dyDescent="0.2">
      <c r="B14" s="4" t="s">
        <v>17</v>
      </c>
      <c r="C14" s="5">
        <f t="shared" ref="C14:L14" si="7">+C11+C12</f>
        <v>0</v>
      </c>
      <c r="D14" s="5">
        <f t="shared" si="7"/>
        <v>0</v>
      </c>
      <c r="E14" s="5">
        <f t="shared" si="7"/>
        <v>0</v>
      </c>
      <c r="F14" s="5">
        <f t="shared" si="7"/>
        <v>0</v>
      </c>
      <c r="G14" s="5">
        <f t="shared" si="7"/>
        <v>368.28</v>
      </c>
      <c r="H14" s="5">
        <f t="shared" si="7"/>
        <v>423.791</v>
      </c>
      <c r="I14" s="5">
        <f t="shared" si="7"/>
        <v>432.93799999999999</v>
      </c>
      <c r="J14" s="5">
        <f t="shared" si="7"/>
        <v>458.00200000000001</v>
      </c>
      <c r="K14" s="5">
        <f t="shared" si="7"/>
        <v>450.56100000000004</v>
      </c>
      <c r="L14" s="5">
        <f t="shared" si="7"/>
        <v>478.10899999999998</v>
      </c>
      <c r="M14" s="5">
        <f>+M11+M12</f>
        <v>529.375</v>
      </c>
      <c r="N14" s="5">
        <f t="shared" ref="N14" si="8">+N11+N12</f>
        <v>558.2399200000001</v>
      </c>
      <c r="P14" s="5">
        <f t="shared" ref="P14:Z14" si="9">+P11+P12</f>
        <v>421.72</v>
      </c>
      <c r="Q14" s="5">
        <f t="shared" si="9"/>
        <v>590.38</v>
      </c>
      <c r="R14" s="5">
        <f t="shared" si="9"/>
        <v>873.78200000000004</v>
      </c>
      <c r="S14" s="5">
        <f t="shared" si="9"/>
        <v>1284.04</v>
      </c>
      <c r="T14" s="5">
        <f t="shared" si="9"/>
        <v>1683.011</v>
      </c>
      <c r="U14" s="5">
        <f>+SUM(K14:N14)</f>
        <v>2016.2849200000001</v>
      </c>
      <c r="V14" s="5">
        <f t="shared" si="9"/>
        <v>2511.2731490000001</v>
      </c>
      <c r="W14" s="5">
        <f t="shared" si="9"/>
        <v>3129.1001351499999</v>
      </c>
      <c r="X14" s="5">
        <f t="shared" si="9"/>
        <v>3747.5932080399998</v>
      </c>
      <c r="Y14" s="5">
        <f t="shared" si="9"/>
        <v>4489.0522000939991</v>
      </c>
      <c r="Z14" s="5">
        <f t="shared" si="9"/>
        <v>5377.9970256033985</v>
      </c>
      <c r="AA14" s="5">
        <f t="shared" ref="AA14:AB14" si="10">+AA11+AA12</f>
        <v>6443.8442547637387</v>
      </c>
      <c r="AB14" s="5">
        <f t="shared" si="10"/>
        <v>7721.8857121601113</v>
      </c>
    </row>
    <row r="15" spans="1:28" x14ac:dyDescent="0.2">
      <c r="B15" s="1" t="s">
        <v>21</v>
      </c>
      <c r="C15" s="3"/>
      <c r="D15" s="3"/>
      <c r="E15" s="3"/>
      <c r="F15" s="3"/>
      <c r="G15" s="3">
        <v>78.173000000000002</v>
      </c>
      <c r="H15" s="3">
        <v>84.822000000000003</v>
      </c>
      <c r="I15" s="3">
        <v>87.953999999999994</v>
      </c>
      <c r="J15" s="3">
        <f>+T15-G15-H15-I15</f>
        <v>94.284000000000006</v>
      </c>
      <c r="K15" s="3">
        <v>100.762</v>
      </c>
      <c r="L15" s="3">
        <v>106.816</v>
      </c>
      <c r="M15" s="3">
        <v>111.15</v>
      </c>
      <c r="N15" s="3"/>
      <c r="P15" s="3">
        <v>101.691</v>
      </c>
      <c r="Q15" s="3">
        <v>145.28</v>
      </c>
      <c r="R15" s="3">
        <v>217.90100000000001</v>
      </c>
      <c r="S15" s="3">
        <v>284.58300000000003</v>
      </c>
      <c r="T15" s="3">
        <v>345.233</v>
      </c>
      <c r="U15" s="3"/>
      <c r="V15" s="3"/>
      <c r="W15" s="3"/>
      <c r="X15" s="3"/>
      <c r="Y15" s="3"/>
      <c r="Z15" s="3"/>
      <c r="AA15" s="3"/>
      <c r="AB15" s="3"/>
    </row>
    <row r="16" spans="1:28" x14ac:dyDescent="0.2">
      <c r="B16" s="1" t="s">
        <v>22</v>
      </c>
      <c r="C16" s="3"/>
      <c r="D16" s="3"/>
      <c r="E16" s="3"/>
      <c r="F16" s="3"/>
      <c r="G16" s="3">
        <v>19.276</v>
      </c>
      <c r="H16" s="3">
        <v>20.515000000000001</v>
      </c>
      <c r="I16" s="3">
        <v>19.103999999999999</v>
      </c>
      <c r="J16" s="3">
        <f>+T16-G16-H16-I16</f>
        <v>20.356999999999999</v>
      </c>
      <c r="K16" s="3">
        <v>21.934999999999999</v>
      </c>
      <c r="L16" s="3">
        <v>21.437000000000001</v>
      </c>
      <c r="M16" s="3">
        <v>24.181000000000001</v>
      </c>
      <c r="N16" s="3"/>
      <c r="P16" s="3">
        <v>23.664999999999999</v>
      </c>
      <c r="Q16" s="3">
        <v>31.795999999999999</v>
      </c>
      <c r="R16" s="3">
        <v>41.591000000000001</v>
      </c>
      <c r="S16" s="3">
        <v>64.721000000000004</v>
      </c>
      <c r="T16" s="3">
        <v>79.251999999999995</v>
      </c>
      <c r="U16" s="3"/>
      <c r="V16" s="3"/>
      <c r="W16" s="3"/>
      <c r="X16" s="3"/>
      <c r="Y16" s="3"/>
      <c r="Z16" s="3"/>
      <c r="AA16" s="3"/>
      <c r="AB16" s="3"/>
    </row>
    <row r="17" spans="1:70" x14ac:dyDescent="0.2">
      <c r="B17" s="1" t="s">
        <v>23</v>
      </c>
      <c r="C17" s="3">
        <f t="shared" ref="C17:L17" si="11">+C14-C15-C16</f>
        <v>0</v>
      </c>
      <c r="D17" s="3">
        <f t="shared" si="11"/>
        <v>0</v>
      </c>
      <c r="E17" s="3">
        <f t="shared" si="11"/>
        <v>0</v>
      </c>
      <c r="F17" s="3">
        <f t="shared" si="11"/>
        <v>0</v>
      </c>
      <c r="G17" s="3">
        <f t="shared" si="11"/>
        <v>270.83099999999996</v>
      </c>
      <c r="H17" s="3">
        <f t="shared" si="11"/>
        <v>318.45400000000001</v>
      </c>
      <c r="I17" s="3">
        <f t="shared" si="11"/>
        <v>325.88</v>
      </c>
      <c r="J17" s="3">
        <f t="shared" si="11"/>
        <v>343.36099999999999</v>
      </c>
      <c r="K17" s="3">
        <f t="shared" si="11"/>
        <v>327.86400000000003</v>
      </c>
      <c r="L17" s="3">
        <f t="shared" si="11"/>
        <v>349.85599999999999</v>
      </c>
      <c r="M17" s="3">
        <f>+M14-M15-M16</f>
        <v>394.04400000000004</v>
      </c>
      <c r="N17" s="3">
        <f>+N14*0.76</f>
        <v>424.2623392000001</v>
      </c>
      <c r="P17" s="3">
        <f t="shared" ref="P17:T17" si="12">+P14-P15-P16</f>
        <v>296.36399999999998</v>
      </c>
      <c r="Q17" s="3">
        <f t="shared" si="12"/>
        <v>413.30400000000003</v>
      </c>
      <c r="R17" s="3">
        <f t="shared" si="12"/>
        <v>614.29000000000008</v>
      </c>
      <c r="S17" s="3">
        <f t="shared" si="12"/>
        <v>934.73599999999988</v>
      </c>
      <c r="T17" s="3">
        <f t="shared" si="12"/>
        <v>1258.5260000000001</v>
      </c>
      <c r="U17" s="3">
        <f>+SUM(K17:N17)</f>
        <v>1496.0263392000002</v>
      </c>
      <c r="V17" s="3">
        <f t="shared" ref="V17:AB17" si="13">+V14*0.76</f>
        <v>1908.5675932400002</v>
      </c>
      <c r="W17" s="3">
        <f t="shared" si="13"/>
        <v>2378.1161027140001</v>
      </c>
      <c r="X17" s="3">
        <f t="shared" si="13"/>
        <v>2848.1708381103999</v>
      </c>
      <c r="Y17" s="3">
        <f t="shared" si="13"/>
        <v>3411.6796720714392</v>
      </c>
      <c r="Z17" s="3">
        <f t="shared" si="13"/>
        <v>4087.2777394585828</v>
      </c>
      <c r="AA17" s="3">
        <f t="shared" si="13"/>
        <v>4897.3216336204414</v>
      </c>
      <c r="AB17" s="3">
        <f t="shared" si="13"/>
        <v>5868.6331412416848</v>
      </c>
    </row>
    <row r="18" spans="1:70" x14ac:dyDescent="0.2">
      <c r="B18" s="1" t="s">
        <v>24</v>
      </c>
      <c r="C18" s="3"/>
      <c r="D18" s="3"/>
      <c r="E18" s="3"/>
      <c r="F18" s="3"/>
      <c r="G18" s="3">
        <v>182.733</v>
      </c>
      <c r="H18" s="3">
        <v>195.934</v>
      </c>
      <c r="I18" s="3">
        <v>192.977</v>
      </c>
      <c r="J18" s="3">
        <f>+T18-G18-H18-I18</f>
        <v>211.11600000000007</v>
      </c>
      <c r="K18" s="3">
        <v>219.44399999999999</v>
      </c>
      <c r="L18" s="3">
        <v>221.53899999999999</v>
      </c>
      <c r="M18" s="3">
        <v>217.95400000000001</v>
      </c>
      <c r="N18" s="3">
        <f>+N14*0.365</f>
        <v>203.75757080000002</v>
      </c>
      <c r="P18" s="3">
        <v>223.893</v>
      </c>
      <c r="Q18" s="3">
        <v>325.10000000000002</v>
      </c>
      <c r="R18" s="3">
        <v>471.89</v>
      </c>
      <c r="S18" s="3">
        <v>699.20100000000002</v>
      </c>
      <c r="T18" s="3">
        <v>782.76</v>
      </c>
      <c r="U18" s="3">
        <f>+SUM(K18:N18)</f>
        <v>862.69457079999995</v>
      </c>
      <c r="V18" s="3">
        <f>+V14*0.35</f>
        <v>878.94560215000001</v>
      </c>
      <c r="W18" s="3">
        <f>+W14*0.3</f>
        <v>938.73004054499995</v>
      </c>
      <c r="X18" s="3">
        <f>+X14*0.25</f>
        <v>936.89830200999995</v>
      </c>
      <c r="Y18" s="3">
        <f>+Y14*0.2</f>
        <v>897.81044001879991</v>
      </c>
      <c r="Z18" s="3">
        <f>+Z14*0.2</f>
        <v>1075.5994051206796</v>
      </c>
      <c r="AA18" s="3">
        <f t="shared" ref="AA18:AB18" si="14">+AA14*0.2</f>
        <v>1288.7688509527479</v>
      </c>
      <c r="AB18" s="3">
        <f t="shared" si="14"/>
        <v>1544.3771424320223</v>
      </c>
    </row>
    <row r="19" spans="1:70" x14ac:dyDescent="0.2">
      <c r="B19" s="1" t="s">
        <v>25</v>
      </c>
      <c r="C19" s="3"/>
      <c r="D19" s="3"/>
      <c r="E19" s="3"/>
      <c r="F19" s="3"/>
      <c r="G19" s="3">
        <v>116.81699999999999</v>
      </c>
      <c r="H19" s="3">
        <v>125.42</v>
      </c>
      <c r="I19" s="3">
        <v>128.15</v>
      </c>
      <c r="J19" s="3">
        <f>+T19-G19-H19-I19</f>
        <v>145.55300000000003</v>
      </c>
      <c r="K19" s="3">
        <v>146.06</v>
      </c>
      <c r="L19" s="3">
        <v>148.96700000000001</v>
      </c>
      <c r="M19" s="3">
        <v>151.41</v>
      </c>
      <c r="N19" s="3">
        <f>+N14*0.25</f>
        <v>139.55998000000002</v>
      </c>
      <c r="P19" s="3">
        <v>149.03299999999999</v>
      </c>
      <c r="Q19" s="3">
        <v>205.161</v>
      </c>
      <c r="R19" s="3">
        <v>308.82</v>
      </c>
      <c r="S19" s="3">
        <v>421.69200000000001</v>
      </c>
      <c r="T19" s="3">
        <v>515.94000000000005</v>
      </c>
      <c r="U19" s="3">
        <f>+SUM(K19:N19)</f>
        <v>585.99698000000001</v>
      </c>
      <c r="V19" s="3">
        <f>+V14*0.3</f>
        <v>753.38194469999996</v>
      </c>
      <c r="W19" s="3">
        <f>+W14*0.25</f>
        <v>782.27503378749998</v>
      </c>
      <c r="X19" s="3">
        <f>+X14*0.225</f>
        <v>843.208471809</v>
      </c>
      <c r="Y19" s="3">
        <f t="shared" ref="Y19:AB19" si="15">+Y14*0.225</f>
        <v>1010.0367450211498</v>
      </c>
      <c r="Z19" s="3">
        <f t="shared" si="15"/>
        <v>1210.0493307607646</v>
      </c>
      <c r="AA19" s="3">
        <f t="shared" si="15"/>
        <v>1449.8649573218413</v>
      </c>
      <c r="AB19" s="3">
        <f t="shared" si="15"/>
        <v>1737.4242852360251</v>
      </c>
    </row>
    <row r="20" spans="1:70" x14ac:dyDescent="0.2">
      <c r="B20" s="1" t="s">
        <v>26</v>
      </c>
      <c r="C20" s="3"/>
      <c r="D20" s="3"/>
      <c r="E20" s="3"/>
      <c r="F20" s="3"/>
      <c r="G20" s="3">
        <v>39.828000000000003</v>
      </c>
      <c r="H20" s="3">
        <v>46.103000000000002</v>
      </c>
      <c r="I20" s="3">
        <v>49.969000000000001</v>
      </c>
      <c r="J20" s="3">
        <f>+T20-G20-H20-I20</f>
        <v>57.65799999999998</v>
      </c>
      <c r="K20" s="3">
        <v>60.545999999999999</v>
      </c>
      <c r="L20" s="3">
        <v>50.79</v>
      </c>
      <c r="M20" s="3">
        <v>52.555999999999997</v>
      </c>
      <c r="N20" s="3">
        <f>+N14*0.085</f>
        <v>47.450393200000015</v>
      </c>
      <c r="P20" s="3">
        <v>71.304000000000002</v>
      </c>
      <c r="Q20" s="3">
        <v>92.346999999999994</v>
      </c>
      <c r="R20" s="3">
        <v>122.944</v>
      </c>
      <c r="S20" s="3">
        <v>160.49799999999999</v>
      </c>
      <c r="T20" s="3">
        <v>193.55799999999999</v>
      </c>
      <c r="U20" s="3">
        <f>+SUM(K20:N20)</f>
        <v>211.3423932</v>
      </c>
      <c r="V20" s="3">
        <f>+V14*0.075</f>
        <v>188.34548617499999</v>
      </c>
      <c r="W20" s="3">
        <f>+W14*0.06</f>
        <v>187.746008109</v>
      </c>
      <c r="X20" s="3">
        <f t="shared" ref="X20" si="16">+X14*0.06</f>
        <v>224.85559248239997</v>
      </c>
      <c r="Y20" s="3">
        <f>+Y14*0.05</f>
        <v>224.45261000469998</v>
      </c>
      <c r="Z20" s="3">
        <f t="shared" ref="Z20:AB20" si="17">+Z14*0.05</f>
        <v>268.89985128016991</v>
      </c>
      <c r="AA20" s="3">
        <f t="shared" si="17"/>
        <v>322.19221273818698</v>
      </c>
      <c r="AB20" s="3">
        <f t="shared" si="17"/>
        <v>386.09428560800558</v>
      </c>
    </row>
    <row r="21" spans="1:70" x14ac:dyDescent="0.2">
      <c r="B21" s="1" t="s">
        <v>27</v>
      </c>
      <c r="C21" s="3">
        <f t="shared" ref="C21:L21" si="18">+C18+C19+C20</f>
        <v>0</v>
      </c>
      <c r="D21" s="3">
        <f t="shared" si="18"/>
        <v>0</v>
      </c>
      <c r="E21" s="3">
        <f t="shared" si="18"/>
        <v>0</v>
      </c>
      <c r="F21" s="3">
        <f t="shared" si="18"/>
        <v>0</v>
      </c>
      <c r="G21" s="3">
        <f t="shared" si="18"/>
        <v>339.37800000000004</v>
      </c>
      <c r="H21" s="3">
        <f t="shared" si="18"/>
        <v>367.45699999999999</v>
      </c>
      <c r="I21" s="3">
        <f t="shared" si="18"/>
        <v>371.096</v>
      </c>
      <c r="J21" s="3">
        <f t="shared" si="18"/>
        <v>414.32700000000006</v>
      </c>
      <c r="K21" s="3">
        <f t="shared" si="18"/>
        <v>426.05</v>
      </c>
      <c r="L21" s="3">
        <f t="shared" si="18"/>
        <v>421.29599999999999</v>
      </c>
      <c r="M21" s="3">
        <f>+M18+M19+M20</f>
        <v>421.92</v>
      </c>
      <c r="N21" s="3">
        <f t="shared" ref="N21" si="19">+N18+N19+N20</f>
        <v>390.76794400000006</v>
      </c>
      <c r="P21" s="3">
        <f t="shared" ref="P21:Z21" si="20">+P18+P19+P20</f>
        <v>444.23</v>
      </c>
      <c r="Q21" s="3">
        <f t="shared" si="20"/>
        <v>622.60799999999995</v>
      </c>
      <c r="R21" s="3">
        <f t="shared" si="20"/>
        <v>903.654</v>
      </c>
      <c r="S21" s="3">
        <f t="shared" si="20"/>
        <v>1281.3910000000001</v>
      </c>
      <c r="T21" s="3">
        <f t="shared" si="20"/>
        <v>1492.258</v>
      </c>
      <c r="U21" s="3">
        <f t="shared" si="20"/>
        <v>1660.033944</v>
      </c>
      <c r="V21" s="3">
        <f t="shared" si="20"/>
        <v>1820.673033025</v>
      </c>
      <c r="W21" s="3">
        <f t="shared" si="20"/>
        <v>1908.7510824415001</v>
      </c>
      <c r="X21" s="3">
        <f t="shared" si="20"/>
        <v>2004.9623663013999</v>
      </c>
      <c r="Y21" s="3">
        <f t="shared" si="20"/>
        <v>2132.2997950446497</v>
      </c>
      <c r="Z21" s="3">
        <f t="shared" si="20"/>
        <v>2554.5485871616143</v>
      </c>
      <c r="AA21" s="3">
        <f t="shared" ref="AA21" si="21">+AA18+AA19+AA20</f>
        <v>3060.8260210127764</v>
      </c>
      <c r="AB21" s="3">
        <f t="shared" ref="AB21" si="22">+AB18+AB19+AB20</f>
        <v>3667.8957132760529</v>
      </c>
    </row>
    <row r="22" spans="1:70" x14ac:dyDescent="0.2">
      <c r="B22" s="1" t="s">
        <v>28</v>
      </c>
      <c r="C22" s="3">
        <f t="shared" ref="C22:L22" si="23">+C17-C21</f>
        <v>0</v>
      </c>
      <c r="D22" s="3">
        <f t="shared" si="23"/>
        <v>0</v>
      </c>
      <c r="E22" s="3">
        <f t="shared" si="23"/>
        <v>0</v>
      </c>
      <c r="F22" s="3">
        <f t="shared" si="23"/>
        <v>0</v>
      </c>
      <c r="G22" s="3">
        <f t="shared" si="23"/>
        <v>-68.547000000000082</v>
      </c>
      <c r="H22" s="3">
        <f t="shared" si="23"/>
        <v>-49.002999999999986</v>
      </c>
      <c r="I22" s="3">
        <f t="shared" si="23"/>
        <v>-45.216000000000008</v>
      </c>
      <c r="J22" s="3">
        <f t="shared" si="23"/>
        <v>-70.966000000000065</v>
      </c>
      <c r="K22" s="3">
        <f t="shared" si="23"/>
        <v>-98.185999999999979</v>
      </c>
      <c r="L22" s="3">
        <f t="shared" si="23"/>
        <v>-71.44</v>
      </c>
      <c r="M22" s="3">
        <f>+M17-M21</f>
        <v>-27.875999999999976</v>
      </c>
      <c r="N22" s="3">
        <f t="shared" ref="N22" si="24">+N17-N21</f>
        <v>33.494395200000042</v>
      </c>
      <c r="P22" s="3">
        <f t="shared" ref="P22:Z22" si="25">+P17-P21</f>
        <v>-147.86600000000004</v>
      </c>
      <c r="Q22" s="3">
        <f t="shared" si="25"/>
        <v>-209.30399999999992</v>
      </c>
      <c r="R22" s="3">
        <f t="shared" si="25"/>
        <v>-289.36399999999992</v>
      </c>
      <c r="S22" s="3">
        <f t="shared" si="25"/>
        <v>-346.6550000000002</v>
      </c>
      <c r="T22" s="3">
        <f t="shared" si="25"/>
        <v>-233.73199999999997</v>
      </c>
      <c r="U22" s="3">
        <f t="shared" si="25"/>
        <v>-164.00760479999985</v>
      </c>
      <c r="V22" s="3">
        <f t="shared" si="25"/>
        <v>87.894560215000183</v>
      </c>
      <c r="W22" s="3">
        <f t="shared" si="25"/>
        <v>469.36502027250003</v>
      </c>
      <c r="X22" s="3">
        <f t="shared" si="25"/>
        <v>843.208471809</v>
      </c>
      <c r="Y22" s="3">
        <f t="shared" si="25"/>
        <v>1279.3798770267895</v>
      </c>
      <c r="Z22" s="3">
        <f t="shared" si="25"/>
        <v>1532.7291522969686</v>
      </c>
      <c r="AA22" s="3">
        <f t="shared" ref="AA22" si="26">+AA17-AA21</f>
        <v>1836.495612607665</v>
      </c>
      <c r="AB22" s="3">
        <f t="shared" ref="AB22" si="27">+AB17-AB21</f>
        <v>2200.7374279656319</v>
      </c>
    </row>
    <row r="23" spans="1:70" x14ac:dyDescent="0.2">
      <c r="B23" s="1" t="s">
        <v>29</v>
      </c>
      <c r="C23" s="3"/>
      <c r="D23" s="3"/>
      <c r="E23" s="3"/>
      <c r="F23" s="3"/>
      <c r="G23" s="3">
        <f>18.037-2.393</f>
        <v>15.643999999999998</v>
      </c>
      <c r="H23" s="3">
        <f>19.47-2.611</f>
        <v>16.858999999999998</v>
      </c>
      <c r="I23" s="3">
        <f>20.358-1.964</f>
        <v>18.394000000000002</v>
      </c>
      <c r="J23" s="3">
        <f>+T23-G23-H23-I23</f>
        <v>19.953999999999997</v>
      </c>
      <c r="K23" s="3">
        <f>23.111-1.897</f>
        <v>21.214000000000002</v>
      </c>
      <c r="L23" s="3">
        <f>24.26-2.282</f>
        <v>21.978000000000002</v>
      </c>
      <c r="M23" s="3">
        <f>23.869-2.278</f>
        <v>21.591000000000001</v>
      </c>
      <c r="N23" s="3">
        <f>+M23</f>
        <v>21.591000000000001</v>
      </c>
      <c r="P23" s="3">
        <f>8.556-20.983</f>
        <v>-12.427000000000001</v>
      </c>
      <c r="Q23" s="3">
        <f>4.569-56.107</f>
        <v>-51.537999999999997</v>
      </c>
      <c r="R23" s="3">
        <f>0.926-11.316</f>
        <v>-10.39</v>
      </c>
      <c r="S23" s="3">
        <f>24.948-9.797</f>
        <v>15.151</v>
      </c>
      <c r="T23" s="3">
        <f>80.238-9.387</f>
        <v>70.850999999999999</v>
      </c>
      <c r="U23" s="3">
        <f>+SUM(K23:N23)</f>
        <v>86.374000000000024</v>
      </c>
      <c r="V23" s="3">
        <f t="shared" ref="V23:AB23" si="28">+U49*$AE$32</f>
        <v>55.744655808000005</v>
      </c>
      <c r="W23" s="3">
        <f t="shared" si="28"/>
        <v>61.490224448920017</v>
      </c>
      <c r="X23" s="3">
        <f t="shared" si="28"/>
        <v>82.724434237776819</v>
      </c>
      <c r="Y23" s="3">
        <f t="shared" si="28"/>
        <v>119.7617504796479</v>
      </c>
      <c r="Z23" s="3">
        <f t="shared" si="28"/>
        <v>175.7274155799054</v>
      </c>
      <c r="AA23" s="3">
        <f t="shared" si="28"/>
        <v>244.06567829498036</v>
      </c>
      <c r="AB23" s="3">
        <f t="shared" si="28"/>
        <v>327.28812993108619</v>
      </c>
    </row>
    <row r="24" spans="1:70" x14ac:dyDescent="0.2">
      <c r="B24" s="1" t="s">
        <v>30</v>
      </c>
      <c r="C24" s="3"/>
      <c r="D24" s="3"/>
      <c r="E24" s="3"/>
      <c r="F24" s="3"/>
      <c r="G24" s="3">
        <v>1.1439999999999999</v>
      </c>
      <c r="H24" s="3">
        <v>-1.865</v>
      </c>
      <c r="I24" s="3">
        <v>1.1599999999999999</v>
      </c>
      <c r="J24" s="3">
        <f>+T24-G24-H24-I24</f>
        <v>-1.0739999999999998</v>
      </c>
      <c r="K24" s="3">
        <v>-1.04</v>
      </c>
      <c r="L24" s="3">
        <v>-1.17</v>
      </c>
      <c r="M24" s="3">
        <v>-0.82399999999999995</v>
      </c>
      <c r="N24" s="3">
        <v>-1</v>
      </c>
      <c r="P24" s="3">
        <v>-15.885</v>
      </c>
      <c r="Q24" s="3">
        <v>-1.851</v>
      </c>
      <c r="R24" s="3">
        <v>-3.1349999999999998</v>
      </c>
      <c r="S24" s="3">
        <v>-1.75</v>
      </c>
      <c r="T24" s="3">
        <v>-0.63500000000000001</v>
      </c>
      <c r="U24" s="3"/>
      <c r="V24" s="3"/>
      <c r="W24" s="3"/>
      <c r="X24" s="3"/>
      <c r="Y24" s="3"/>
      <c r="Z24" s="3"/>
      <c r="AA24" s="3"/>
      <c r="AB24" s="3"/>
    </row>
    <row r="25" spans="1:70" x14ac:dyDescent="0.2">
      <c r="B25" s="1" t="s">
        <v>31</v>
      </c>
      <c r="C25" s="3">
        <f t="shared" ref="C25:L25" si="29">+C22+C23+C24</f>
        <v>0</v>
      </c>
      <c r="D25" s="3">
        <f t="shared" si="29"/>
        <v>0</v>
      </c>
      <c r="E25" s="3">
        <f t="shared" si="29"/>
        <v>0</v>
      </c>
      <c r="F25" s="3">
        <f t="shared" si="29"/>
        <v>0</v>
      </c>
      <c r="G25" s="3">
        <f t="shared" si="29"/>
        <v>-51.759000000000086</v>
      </c>
      <c r="H25" s="3">
        <f t="shared" si="29"/>
        <v>-34.008999999999993</v>
      </c>
      <c r="I25" s="3">
        <f t="shared" si="29"/>
        <v>-25.662000000000006</v>
      </c>
      <c r="J25" s="3">
        <f t="shared" si="29"/>
        <v>-52.08600000000007</v>
      </c>
      <c r="K25" s="3">
        <f t="shared" si="29"/>
        <v>-78.011999999999986</v>
      </c>
      <c r="L25" s="3">
        <f t="shared" si="29"/>
        <v>-50.631999999999998</v>
      </c>
      <c r="M25" s="3">
        <f>+M22+M23+M24</f>
        <v>-7.1089999999999751</v>
      </c>
      <c r="N25" s="3">
        <f t="shared" ref="N25" si="30">+N22+N23+N24</f>
        <v>54.085395200000043</v>
      </c>
      <c r="P25" s="3">
        <f t="shared" ref="P25:Z25" si="31">+P22+P23+P24</f>
        <v>-176.17800000000003</v>
      </c>
      <c r="Q25" s="3">
        <f t="shared" si="31"/>
        <v>-262.69299999999993</v>
      </c>
      <c r="R25" s="3">
        <f t="shared" si="31"/>
        <v>-302.8889999999999</v>
      </c>
      <c r="S25" s="3">
        <f t="shared" si="31"/>
        <v>-333.25400000000019</v>
      </c>
      <c r="T25" s="3">
        <f t="shared" si="31"/>
        <v>-163.51599999999996</v>
      </c>
      <c r="U25" s="3">
        <f t="shared" si="31"/>
        <v>-77.63360479999983</v>
      </c>
      <c r="V25" s="3">
        <f t="shared" si="31"/>
        <v>143.63921602300019</v>
      </c>
      <c r="W25" s="3">
        <f t="shared" si="31"/>
        <v>530.85524472142004</v>
      </c>
      <c r="X25" s="3">
        <f t="shared" si="31"/>
        <v>925.93290604677679</v>
      </c>
      <c r="Y25" s="3">
        <f t="shared" si="31"/>
        <v>1399.1416275064373</v>
      </c>
      <c r="Z25" s="3">
        <f t="shared" si="31"/>
        <v>1708.456567876874</v>
      </c>
      <c r="AA25" s="3">
        <f t="shared" ref="AA25" si="32">+AA22+AA23+AA24</f>
        <v>2080.5612909026454</v>
      </c>
      <c r="AB25" s="3">
        <f t="shared" ref="AB25" si="33">+AB22+AB23+AB24</f>
        <v>2528.0255578967181</v>
      </c>
    </row>
    <row r="26" spans="1:70" x14ac:dyDescent="0.2">
      <c r="B26" s="1" t="s">
        <v>32</v>
      </c>
      <c r="C26" s="3"/>
      <c r="D26" s="3"/>
      <c r="E26" s="3"/>
      <c r="F26" s="3"/>
      <c r="G26" s="3">
        <v>2.4870000000000001</v>
      </c>
      <c r="H26" s="3">
        <v>3.5880000000000001</v>
      </c>
      <c r="I26" s="3">
        <v>3.6349999999999998</v>
      </c>
      <c r="J26" s="3">
        <f>+T26-G26-H26-I26</f>
        <v>3.3739999999999997</v>
      </c>
      <c r="K26" s="3">
        <v>2.581</v>
      </c>
      <c r="L26" s="3">
        <v>3.8969999999999998</v>
      </c>
      <c r="M26" s="3">
        <v>2.6669999999999998</v>
      </c>
      <c r="N26" s="3">
        <f>+N25*0.2</f>
        <v>10.81707904000001</v>
      </c>
      <c r="P26" s="3">
        <v>-0.65600000000000003</v>
      </c>
      <c r="Q26" s="3">
        <v>4.2510000000000003</v>
      </c>
      <c r="R26" s="3">
        <v>3.9769999999999999</v>
      </c>
      <c r="S26" s="3">
        <v>12.144</v>
      </c>
      <c r="T26" s="3">
        <v>13.084</v>
      </c>
      <c r="U26" s="3">
        <f>+U25*0.2</f>
        <v>-15.526720959999967</v>
      </c>
      <c r="V26" s="3">
        <f t="shared" ref="V26:Z26" si="34">+V25*0.2</f>
        <v>28.727843204600038</v>
      </c>
      <c r="W26" s="3">
        <f t="shared" si="34"/>
        <v>106.17104894428401</v>
      </c>
      <c r="X26" s="3">
        <f t="shared" si="34"/>
        <v>185.18658120935538</v>
      </c>
      <c r="Y26" s="3">
        <f t="shared" si="34"/>
        <v>279.82832550128745</v>
      </c>
      <c r="Z26" s="3">
        <f t="shared" si="34"/>
        <v>341.69131357537481</v>
      </c>
      <c r="AA26" s="3">
        <f t="shared" ref="AA26" si="35">+AA25*0.2</f>
        <v>416.11225818052912</v>
      </c>
      <c r="AB26" s="3">
        <f t="shared" ref="AB26" si="36">+AB25*0.2</f>
        <v>505.60511157934366</v>
      </c>
    </row>
    <row r="27" spans="1:70" s="4" customFormat="1" x14ac:dyDescent="0.2">
      <c r="A27" s="1"/>
      <c r="B27" s="4" t="s">
        <v>33</v>
      </c>
      <c r="C27" s="5">
        <f t="shared" ref="C27:L27" si="37">+C25-C26</f>
        <v>0</v>
      </c>
      <c r="D27" s="5">
        <f t="shared" si="37"/>
        <v>0</v>
      </c>
      <c r="E27" s="5">
        <f t="shared" si="37"/>
        <v>0</v>
      </c>
      <c r="F27" s="5">
        <f t="shared" si="37"/>
        <v>0</v>
      </c>
      <c r="G27" s="5">
        <f t="shared" si="37"/>
        <v>-54.246000000000087</v>
      </c>
      <c r="H27" s="5">
        <f t="shared" si="37"/>
        <v>-37.596999999999994</v>
      </c>
      <c r="I27" s="5">
        <f t="shared" si="37"/>
        <v>-29.297000000000004</v>
      </c>
      <c r="J27" s="5">
        <f t="shared" si="37"/>
        <v>-55.460000000000072</v>
      </c>
      <c r="K27" s="5">
        <f t="shared" si="37"/>
        <v>-80.592999999999989</v>
      </c>
      <c r="L27" s="5">
        <f t="shared" si="37"/>
        <v>-54.528999999999996</v>
      </c>
      <c r="M27" s="5">
        <f>+M25-M26</f>
        <v>-9.7759999999999749</v>
      </c>
      <c r="N27" s="5">
        <f t="shared" ref="N27" si="38">+N25-N26</f>
        <v>43.268316160000033</v>
      </c>
      <c r="P27" s="5">
        <f t="shared" ref="P27:Z27" si="39">+P25-P26</f>
        <v>-175.52200000000002</v>
      </c>
      <c r="Q27" s="5">
        <f t="shared" si="39"/>
        <v>-266.9439999999999</v>
      </c>
      <c r="R27" s="5">
        <f t="shared" si="39"/>
        <v>-306.86599999999987</v>
      </c>
      <c r="S27" s="5">
        <f t="shared" si="39"/>
        <v>-345.3980000000002</v>
      </c>
      <c r="T27" s="5">
        <f t="shared" si="39"/>
        <v>-176.59999999999997</v>
      </c>
      <c r="U27" s="5">
        <f t="shared" si="39"/>
        <v>-62.106883839999867</v>
      </c>
      <c r="V27" s="5">
        <f t="shared" si="39"/>
        <v>114.91137281840015</v>
      </c>
      <c r="W27" s="5">
        <f t="shared" si="39"/>
        <v>424.68419577713604</v>
      </c>
      <c r="X27" s="5">
        <f t="shared" si="39"/>
        <v>740.74632483742141</v>
      </c>
      <c r="Y27" s="5">
        <f t="shared" si="39"/>
        <v>1119.3133020051498</v>
      </c>
      <c r="Z27" s="5">
        <f t="shared" si="39"/>
        <v>1366.7652543014992</v>
      </c>
      <c r="AA27" s="5">
        <f t="shared" ref="AA27" si="40">+AA25-AA26</f>
        <v>1664.4490327221163</v>
      </c>
      <c r="AB27" s="5">
        <f t="shared" ref="AB27" si="41">+AB25-AB26</f>
        <v>2022.4204463173744</v>
      </c>
      <c r="AC27" s="5">
        <f t="shared" ref="AC27:BR27" si="42">+AB27*(1+$AE$31)</f>
        <v>2083.0930597068955</v>
      </c>
      <c r="AD27" s="5">
        <f t="shared" si="42"/>
        <v>2145.5858514981023</v>
      </c>
      <c r="AE27" s="5">
        <f t="shared" si="42"/>
        <v>2209.9534270430454</v>
      </c>
      <c r="AF27" s="5">
        <f t="shared" si="42"/>
        <v>2276.2520298543368</v>
      </c>
      <c r="AG27" s="5">
        <f t="shared" si="42"/>
        <v>2344.5395907499669</v>
      </c>
      <c r="AH27" s="5">
        <f t="shared" si="42"/>
        <v>2414.8757784724662</v>
      </c>
      <c r="AI27" s="5">
        <f t="shared" si="42"/>
        <v>2487.3220518266403</v>
      </c>
      <c r="AJ27" s="5">
        <f t="shared" si="42"/>
        <v>2561.9417133814395</v>
      </c>
      <c r="AK27" s="5">
        <f t="shared" si="42"/>
        <v>2638.7999647828829</v>
      </c>
      <c r="AL27" s="5">
        <f t="shared" si="42"/>
        <v>2717.9639637263695</v>
      </c>
      <c r="AM27" s="5">
        <f t="shared" si="42"/>
        <v>2799.5028826381608</v>
      </c>
      <c r="AN27" s="5">
        <f t="shared" si="42"/>
        <v>2883.4879691173055</v>
      </c>
      <c r="AO27" s="5">
        <f t="shared" si="42"/>
        <v>2969.9926081908247</v>
      </c>
      <c r="AP27" s="5">
        <f t="shared" si="42"/>
        <v>3059.0923864365495</v>
      </c>
      <c r="AQ27" s="5">
        <f t="shared" si="42"/>
        <v>3150.865158029646</v>
      </c>
      <c r="AR27" s="5">
        <f t="shared" si="42"/>
        <v>3245.3911127705355</v>
      </c>
      <c r="AS27" s="5">
        <f t="shared" si="42"/>
        <v>3342.7528461536517</v>
      </c>
      <c r="AT27" s="5">
        <f t="shared" si="42"/>
        <v>3443.0354315382615</v>
      </c>
      <c r="AU27" s="5">
        <f t="shared" si="42"/>
        <v>3546.3264944844095</v>
      </c>
      <c r="AV27" s="5">
        <f t="shared" si="42"/>
        <v>3652.716289318942</v>
      </c>
      <c r="AW27" s="5">
        <f t="shared" si="42"/>
        <v>3762.2977779985104</v>
      </c>
      <c r="AX27" s="5">
        <f t="shared" si="42"/>
        <v>3875.1667113384656</v>
      </c>
      <c r="AY27" s="5">
        <f t="shared" si="42"/>
        <v>3991.4217126786198</v>
      </c>
      <c r="AZ27" s="5">
        <f t="shared" si="42"/>
        <v>4111.1643640589782</v>
      </c>
      <c r="BA27" s="5">
        <f t="shared" si="42"/>
        <v>4234.4992949807474</v>
      </c>
      <c r="BB27" s="5">
        <f t="shared" si="42"/>
        <v>4361.5342738301697</v>
      </c>
      <c r="BC27" s="5">
        <f t="shared" si="42"/>
        <v>4492.380302045075</v>
      </c>
      <c r="BD27" s="5">
        <f t="shared" si="42"/>
        <v>4627.1517111064277</v>
      </c>
      <c r="BE27" s="5">
        <f t="shared" si="42"/>
        <v>4765.9662624396206</v>
      </c>
      <c r="BF27" s="5">
        <f t="shared" si="42"/>
        <v>4908.9452503128095</v>
      </c>
      <c r="BG27" s="5">
        <f t="shared" si="42"/>
        <v>5056.2136078221938</v>
      </c>
      <c r="BH27" s="5">
        <f t="shared" si="42"/>
        <v>5207.9000160568594</v>
      </c>
      <c r="BI27" s="5">
        <f t="shared" si="42"/>
        <v>5364.1370165385651</v>
      </c>
      <c r="BJ27" s="5">
        <f t="shared" si="42"/>
        <v>5525.0611270347226</v>
      </c>
      <c r="BK27" s="5">
        <f t="shared" si="42"/>
        <v>5690.8129608457648</v>
      </c>
      <c r="BL27" s="5">
        <f t="shared" si="42"/>
        <v>5861.5373496711381</v>
      </c>
      <c r="BM27" s="5">
        <f t="shared" si="42"/>
        <v>6037.3834701612723</v>
      </c>
      <c r="BN27" s="5">
        <f t="shared" si="42"/>
        <v>6218.5049742661104</v>
      </c>
      <c r="BO27" s="5">
        <f t="shared" si="42"/>
        <v>6405.0601234940941</v>
      </c>
      <c r="BP27" s="5">
        <f t="shared" si="42"/>
        <v>6597.2119271989168</v>
      </c>
      <c r="BQ27" s="5">
        <f t="shared" si="42"/>
        <v>6795.1282850148846</v>
      </c>
      <c r="BR27" s="5">
        <f t="shared" si="42"/>
        <v>6998.9821335653314</v>
      </c>
    </row>
    <row r="28" spans="1:70" x14ac:dyDescent="0.2">
      <c r="B28" s="1" t="s">
        <v>2</v>
      </c>
      <c r="C28" s="3"/>
      <c r="D28" s="3"/>
      <c r="E28" s="3"/>
      <c r="F28" s="3"/>
      <c r="G28" s="3">
        <v>70.177498999999997</v>
      </c>
      <c r="H28" s="3">
        <v>70.874116999999998</v>
      </c>
      <c r="I28" s="3">
        <v>71.560023000000001</v>
      </c>
      <c r="J28" s="3"/>
      <c r="K28" s="3">
        <v>72.990140999999994</v>
      </c>
      <c r="L28" s="3">
        <v>73.543426999999994</v>
      </c>
      <c r="M28" s="3">
        <v>74.020593000000005</v>
      </c>
      <c r="N28" s="3">
        <f>+M28</f>
        <v>74.020593000000005</v>
      </c>
      <c r="P28" s="3">
        <v>55.939031999999997</v>
      </c>
      <c r="Q28" s="3">
        <v>58.984603999999997</v>
      </c>
      <c r="R28" s="3">
        <v>64.563032000000007</v>
      </c>
      <c r="S28" s="3">
        <v>68.628266999999994</v>
      </c>
      <c r="T28" s="3">
        <v>71.248981999999998</v>
      </c>
      <c r="U28" s="3">
        <v>74.020593000000005</v>
      </c>
      <c r="V28" s="3">
        <v>74.020593000000005</v>
      </c>
      <c r="W28" s="3">
        <v>74.020593000000005</v>
      </c>
      <c r="X28" s="3">
        <v>74.020593000000005</v>
      </c>
      <c r="Y28" s="3">
        <v>74.020593000000005</v>
      </c>
      <c r="Z28" s="3">
        <v>74.020593000000005</v>
      </c>
      <c r="AA28" s="3">
        <v>74.020593000000005</v>
      </c>
      <c r="AB28" s="3">
        <v>74.020593000000005</v>
      </c>
    </row>
    <row r="29" spans="1:70" x14ac:dyDescent="0.2">
      <c r="B29" s="1" t="s">
        <v>34</v>
      </c>
      <c r="C29" s="7"/>
      <c r="D29" s="7"/>
      <c r="E29" s="7"/>
      <c r="F29" s="7"/>
      <c r="G29" s="7">
        <f t="shared" ref="G29" si="43">+G27/G28</f>
        <v>-0.77298280464511981</v>
      </c>
      <c r="H29" s="7">
        <f t="shared" ref="H29" si="44">+H27/H28</f>
        <v>-0.53047574476307047</v>
      </c>
      <c r="I29" s="7">
        <f>+I27/I28</f>
        <v>-0.40940456377438567</v>
      </c>
      <c r="J29" s="7"/>
      <c r="K29" s="7">
        <f t="shared" ref="K29" si="45">+K27/K28</f>
        <v>-1.1041628211130596</v>
      </c>
      <c r="L29" s="7">
        <f t="shared" ref="L29" si="46">+L27/L28</f>
        <v>-0.74145307370568958</v>
      </c>
      <c r="M29" s="7">
        <f>+M27/M28</f>
        <v>-0.13207135479176685</v>
      </c>
      <c r="N29" s="7">
        <f t="shared" ref="N29" si="47">+N27/N28</f>
        <v>0.58454430593389095</v>
      </c>
      <c r="P29" s="7">
        <f t="shared" ref="P29:Z29" si="48">+P27/P28</f>
        <v>-3.1377375282432491</v>
      </c>
      <c r="Q29" s="7">
        <f t="shared" si="48"/>
        <v>-4.5256555422496341</v>
      </c>
      <c r="R29" s="7">
        <f t="shared" si="48"/>
        <v>-4.7529676115582653</v>
      </c>
      <c r="S29" s="7">
        <f t="shared" si="48"/>
        <v>-5.0328824418661222</v>
      </c>
      <c r="T29" s="7">
        <f t="shared" si="48"/>
        <v>-2.4786319052249755</v>
      </c>
      <c r="U29" s="7">
        <f t="shared" si="48"/>
        <v>-0.83904872040135992</v>
      </c>
      <c r="V29" s="7">
        <f t="shared" si="48"/>
        <v>1.5524243749087521</v>
      </c>
      <c r="W29" s="7">
        <f t="shared" si="48"/>
        <v>5.7373789990730826</v>
      </c>
      <c r="X29" s="7">
        <f t="shared" si="48"/>
        <v>10.007300601299173</v>
      </c>
      <c r="Y29" s="7">
        <f t="shared" si="48"/>
        <v>15.12164732326786</v>
      </c>
      <c r="Z29" s="7">
        <f t="shared" si="48"/>
        <v>18.46466231770798</v>
      </c>
      <c r="AA29" s="7">
        <f t="shared" ref="AA29" si="49">+AA27/AA28</f>
        <v>22.486296924453391</v>
      </c>
      <c r="AB29" s="7">
        <f t="shared" ref="AB29" si="50">+AB27/AB28</f>
        <v>27.322402649724438</v>
      </c>
    </row>
    <row r="30" spans="1:70" x14ac:dyDescent="0.2">
      <c r="AD30" s="4" t="s">
        <v>59</v>
      </c>
      <c r="AE30" s="10">
        <v>7.4999999999999997E-2</v>
      </c>
    </row>
    <row r="31" spans="1:70" x14ac:dyDescent="0.2">
      <c r="B31" s="1" t="s">
        <v>65</v>
      </c>
      <c r="K31" s="8">
        <f t="shared" ref="K31:L31" si="51">+K3/G3-1</f>
        <v>0.14153132250580036</v>
      </c>
      <c r="L31" s="8">
        <f t="shared" si="51"/>
        <v>0.12666666666666671</v>
      </c>
      <c r="M31" s="8">
        <f>+M3/I3-1</f>
        <v>0.13362068965517238</v>
      </c>
      <c r="N31" s="8">
        <f>+N3/J3-1</f>
        <v>0.12999999999999989</v>
      </c>
      <c r="T31" s="8"/>
      <c r="U31" s="8">
        <f>+U3/T3-1</f>
        <v>0.12999999999999989</v>
      </c>
      <c r="V31" s="8">
        <f t="shared" ref="V31:AB31" si="52">+V3/U3-1</f>
        <v>0.12999999999999989</v>
      </c>
      <c r="W31" s="8">
        <f t="shared" si="52"/>
        <v>0.12999999999999989</v>
      </c>
      <c r="X31" s="8">
        <f t="shared" si="52"/>
        <v>0.12999999999999989</v>
      </c>
      <c r="Y31" s="8">
        <f t="shared" si="52"/>
        <v>0.12999999999999989</v>
      </c>
      <c r="Z31" s="8">
        <f t="shared" si="52"/>
        <v>0.12999999999999989</v>
      </c>
      <c r="AA31" s="8">
        <f t="shared" si="52"/>
        <v>0.12999999999999989</v>
      </c>
      <c r="AB31" s="8">
        <f t="shared" si="52"/>
        <v>0.12999999999999989</v>
      </c>
      <c r="AD31" s="4" t="s">
        <v>60</v>
      </c>
      <c r="AE31" s="8">
        <v>0.03</v>
      </c>
    </row>
    <row r="32" spans="1:70" s="4" customFormat="1" x14ac:dyDescent="0.2">
      <c r="A32" s="1"/>
      <c r="B32" s="4" t="s">
        <v>55</v>
      </c>
      <c r="J32" s="9"/>
      <c r="K32" s="9">
        <f t="shared" ref="K32" si="53">+K9/G9-1</f>
        <v>0.32007183835528874</v>
      </c>
      <c r="L32" s="9">
        <f t="shared" ref="L32" si="54">+L9/H9-1</f>
        <v>0.27099282341407926</v>
      </c>
      <c r="M32" s="9">
        <f>+M9/I9-1</f>
        <v>0.2640628050310958</v>
      </c>
      <c r="N32" s="9">
        <f t="shared" ref="N32" si="55">+N9/J9-1</f>
        <v>0.25</v>
      </c>
      <c r="Q32" s="9">
        <f t="shared" ref="Q32:R32" si="56">+Q9/P9-1</f>
        <v>0.66638976063011524</v>
      </c>
      <c r="R32" s="9">
        <f t="shared" si="56"/>
        <v>0.81786525359576068</v>
      </c>
      <c r="S32" s="9">
        <f t="shared" ref="S32" si="57">+S9/R9-1</f>
        <v>0.64185322789348498</v>
      </c>
      <c r="T32" s="9">
        <f>+T9/S9-1</f>
        <v>0.36756352820802141</v>
      </c>
      <c r="U32" s="9">
        <f t="shared" ref="U32:AB32" si="58">+U9/T9-1</f>
        <v>0.30000000000000004</v>
      </c>
      <c r="V32" s="9">
        <f t="shared" si="58"/>
        <v>0.25</v>
      </c>
      <c r="W32" s="9">
        <f t="shared" si="58"/>
        <v>0.19999999999999996</v>
      </c>
      <c r="X32" s="9">
        <f t="shared" si="58"/>
        <v>0.19999999999999996</v>
      </c>
      <c r="Y32" s="9">
        <f t="shared" si="58"/>
        <v>0.19999999999999996</v>
      </c>
      <c r="Z32" s="9">
        <f t="shared" si="58"/>
        <v>0.19999999999999996</v>
      </c>
      <c r="AA32" s="9">
        <f t="shared" si="58"/>
        <v>0.19999999999999996</v>
      </c>
      <c r="AB32" s="9">
        <f t="shared" si="58"/>
        <v>0.19999999999999996</v>
      </c>
      <c r="AD32" s="4" t="s">
        <v>61</v>
      </c>
      <c r="AE32" s="8">
        <v>0.05</v>
      </c>
    </row>
    <row r="33" spans="2:31" x14ac:dyDescent="0.2">
      <c r="B33" s="1" t="s">
        <v>36</v>
      </c>
      <c r="J33" s="8"/>
      <c r="K33" s="8">
        <f>+K11/G11-1</f>
        <v>0.23168524501429322</v>
      </c>
      <c r="L33" s="8">
        <f>+L11/H11-1</f>
        <v>0.13307225883996932</v>
      </c>
      <c r="M33" s="8">
        <f>+M11/I11-1</f>
        <v>0.22437783711296344</v>
      </c>
      <c r="Q33" s="8">
        <f t="shared" ref="Q33:R33" si="59">+Q11/P11-1</f>
        <v>0.41398758459930063</v>
      </c>
      <c r="R33" s="8">
        <f t="shared" si="59"/>
        <v>0.48942865380499478</v>
      </c>
      <c r="S33" s="8">
        <f t="shared" ref="S33" si="60">+S11/R11-1</f>
        <v>0.46680885983799003</v>
      </c>
      <c r="T33" s="8">
        <f>+T11/S11-1</f>
        <v>0.31754272047619581</v>
      </c>
      <c r="U33" s="8">
        <f t="shared" ref="U33:Z33" si="61">+U11/T11-1</f>
        <v>0.20180687827761612</v>
      </c>
      <c r="V33" s="8">
        <f t="shared" si="61"/>
        <v>0.25</v>
      </c>
      <c r="W33" s="8">
        <f t="shared" si="61"/>
        <v>0.25</v>
      </c>
      <c r="X33" s="8">
        <f t="shared" si="61"/>
        <v>0.19999999999999996</v>
      </c>
      <c r="Y33" s="8">
        <f t="shared" si="61"/>
        <v>0.19999999999999996</v>
      </c>
      <c r="Z33" s="8">
        <f t="shared" si="61"/>
        <v>0.19999999999999996</v>
      </c>
      <c r="AA33" s="8">
        <f t="shared" ref="AA33:AB33" si="62">+AA11/Z11-1</f>
        <v>0.19999999999999996</v>
      </c>
      <c r="AB33" s="8">
        <f t="shared" si="62"/>
        <v>0.19999999999999996</v>
      </c>
      <c r="AD33" s="4" t="s">
        <v>62</v>
      </c>
      <c r="AE33" s="11">
        <f>+NPV(AE30,U27:BR27)+main!L6-main!L7</f>
        <v>27565.901933832276</v>
      </c>
    </row>
    <row r="34" spans="2:31" x14ac:dyDescent="0.2">
      <c r="B34" s="1" t="s">
        <v>37</v>
      </c>
      <c r="J34" s="8"/>
      <c r="K34" s="8">
        <f>+K12/G12-1</f>
        <v>7.2976559044668488E-3</v>
      </c>
      <c r="L34" s="8">
        <f>+L12/H12-1</f>
        <v>-1.0583108528740448E-2</v>
      </c>
      <c r="M34" s="8">
        <f t="shared" ref="M34" si="63">+M12/I12-1</f>
        <v>0.1761079525994933</v>
      </c>
      <c r="Q34" s="8">
        <f t="shared" ref="Q34:R34" si="64">+Q12/P12-1</f>
        <v>0.143281264273317</v>
      </c>
      <c r="R34" s="8">
        <f t="shared" si="64"/>
        <v>0.26782789341216895</v>
      </c>
      <c r="S34" s="8">
        <f t="shared" ref="S34:T34" si="65">+S12/R12-1</f>
        <v>0.54145265479754223</v>
      </c>
      <c r="T34" s="8">
        <f t="shared" si="65"/>
        <v>0.13833353775706292</v>
      </c>
      <c r="U34" s="8">
        <f t="shared" ref="U34:Z34" si="66">+U12/T12-1</f>
        <v>8.7426416449672084E-2</v>
      </c>
      <c r="V34" s="8">
        <f t="shared" si="66"/>
        <v>0.10000000000000009</v>
      </c>
      <c r="W34" s="8">
        <f t="shared" si="66"/>
        <v>0.10000000000000009</v>
      </c>
      <c r="X34" s="8">
        <f t="shared" si="66"/>
        <v>0.10000000000000009</v>
      </c>
      <c r="Y34" s="8">
        <f t="shared" si="66"/>
        <v>0.10000000000000009</v>
      </c>
      <c r="Z34" s="8">
        <f t="shared" si="66"/>
        <v>0.10000000000000009</v>
      </c>
      <c r="AA34" s="8">
        <f t="shared" ref="AA34:AB34" si="67">+AA12/Z12-1</f>
        <v>0.10000000000000009</v>
      </c>
      <c r="AB34" s="8">
        <f t="shared" si="67"/>
        <v>0.10000000000000009</v>
      </c>
      <c r="AD34" s="4" t="s">
        <v>1</v>
      </c>
      <c r="AE34" s="12">
        <f>+AE33/main!L4</f>
        <v>370.15820222295895</v>
      </c>
    </row>
    <row r="35" spans="2:31" x14ac:dyDescent="0.2">
      <c r="B35" s="1" t="s">
        <v>38</v>
      </c>
      <c r="J35" s="8"/>
      <c r="K35" s="8">
        <f t="shared" ref="K35" si="68">+K14/G14-1</f>
        <v>0.22341968067774531</v>
      </c>
      <c r="L35" s="8">
        <f t="shared" ref="L35" si="69">+L14/H14-1</f>
        <v>0.12817166952578041</v>
      </c>
      <c r="M35" s="8">
        <f>+M14/I14-1</f>
        <v>0.22275013974287305</v>
      </c>
      <c r="N35" s="8">
        <f t="shared" ref="N35" si="70">+N14/J14-1</f>
        <v>0.21885913161951276</v>
      </c>
      <c r="Q35" s="8">
        <f t="shared" ref="Q35:R35" si="71">+Q14/P14-1</f>
        <v>0.39993360523570121</v>
      </c>
      <c r="R35" s="8">
        <f t="shared" si="71"/>
        <v>0.48003319895660423</v>
      </c>
      <c r="S35" s="8">
        <f t="shared" ref="S35" si="72">+S14/R14-1</f>
        <v>0.46951985735572488</v>
      </c>
      <c r="T35" s="8">
        <f>+T14/S14-1</f>
        <v>0.31071539827419703</v>
      </c>
      <c r="U35" s="8">
        <f>+U14/T14-1</f>
        <v>0.19802242528420799</v>
      </c>
      <c r="V35" s="8">
        <f t="shared" ref="V35:Z35" si="73">+V14/U14-1</f>
        <v>0.24549517981813795</v>
      </c>
      <c r="W35" s="8">
        <f>+W14/V14-1</f>
        <v>0.24602142001001415</v>
      </c>
      <c r="X35" s="8">
        <f t="shared" si="73"/>
        <v>0.19765844689414225</v>
      </c>
      <c r="Y35" s="8">
        <f t="shared" si="73"/>
        <v>0.19784937982684192</v>
      </c>
      <c r="Z35" s="8">
        <f t="shared" si="73"/>
        <v>0.19802505871746945</v>
      </c>
      <c r="AA35" s="8">
        <f t="shared" ref="AA35:AB35" si="74">+AA14/Z14-1</f>
        <v>0.19818665277910874</v>
      </c>
      <c r="AB35" s="8">
        <f t="shared" si="74"/>
        <v>0.19833524940512892</v>
      </c>
    </row>
    <row r="37" spans="2:31" x14ac:dyDescent="0.2">
      <c r="B37" s="1" t="s">
        <v>39</v>
      </c>
      <c r="C37" s="8"/>
      <c r="D37" s="8"/>
      <c r="E37" s="8"/>
      <c r="F37" s="8"/>
      <c r="G37" s="8">
        <f t="shared" ref="G37" si="75">+G17/G14</f>
        <v>0.73539426523297491</v>
      </c>
      <c r="H37" s="8">
        <f t="shared" ref="H37" si="76">+H17/H14</f>
        <v>0.75144115849557924</v>
      </c>
      <c r="I37" s="8">
        <f>+I17/I14</f>
        <v>0.75271747917715703</v>
      </c>
      <c r="J37" s="8">
        <f t="shared" ref="J37" si="77">+J17/J14</f>
        <v>0.74969323278064282</v>
      </c>
      <c r="K37" s="8">
        <f t="shared" ref="K37" si="78">+K17/K14</f>
        <v>0.72767949289885281</v>
      </c>
      <c r="L37" s="8">
        <f t="shared" ref="L37" si="79">+L17/L14</f>
        <v>0.73174945462227237</v>
      </c>
      <c r="M37" s="8">
        <f>+M17/M14</f>
        <v>0.7443570247933885</v>
      </c>
      <c r="N37" s="8">
        <f t="shared" ref="N37" si="80">+N17/N14</f>
        <v>0.76</v>
      </c>
      <c r="P37" s="8">
        <f t="shared" ref="P37:Q37" si="81">+P17/P14</f>
        <v>0.70275064023522704</v>
      </c>
      <c r="Q37" s="8">
        <f t="shared" si="81"/>
        <v>0.7000643653240286</v>
      </c>
      <c r="R37" s="8">
        <f t="shared" ref="R37:T37" si="82">+R17/R14</f>
        <v>0.70302432414492411</v>
      </c>
      <c r="S37" s="8">
        <f t="shared" si="82"/>
        <v>0.7279648609077598</v>
      </c>
      <c r="T37" s="8">
        <f t="shared" si="82"/>
        <v>0.74778239714416606</v>
      </c>
      <c r="U37" s="8">
        <f t="shared" ref="U37:Z37" si="83">+U17/U14</f>
        <v>0.74197169475433067</v>
      </c>
      <c r="V37" s="8">
        <f t="shared" si="83"/>
        <v>0.76</v>
      </c>
      <c r="W37" s="8">
        <f t="shared" si="83"/>
        <v>0.76</v>
      </c>
      <c r="X37" s="8">
        <f t="shared" si="83"/>
        <v>0.76</v>
      </c>
      <c r="Y37" s="8">
        <f t="shared" si="83"/>
        <v>0.76</v>
      </c>
      <c r="Z37" s="8">
        <f t="shared" si="83"/>
        <v>0.76</v>
      </c>
      <c r="AA37" s="8">
        <f t="shared" ref="AA37:AB37" si="84">+AA17/AA14</f>
        <v>0.76</v>
      </c>
      <c r="AB37" s="8">
        <f t="shared" si="84"/>
        <v>0.76</v>
      </c>
    </row>
    <row r="38" spans="2:31" x14ac:dyDescent="0.2">
      <c r="B38" s="1" t="s">
        <v>40</v>
      </c>
      <c r="C38" s="8"/>
      <c r="D38" s="8"/>
      <c r="E38" s="8"/>
      <c r="F38" s="8"/>
      <c r="G38" s="8">
        <f t="shared" ref="G38" si="85">+G22/G14</f>
        <v>-0.18612740306288716</v>
      </c>
      <c r="H38" s="8">
        <f t="shared" ref="H38" si="86">+H22/H14</f>
        <v>-0.11563011012503802</v>
      </c>
      <c r="I38" s="8">
        <f>+I22/I14</f>
        <v>-0.1044398967057639</v>
      </c>
      <c r="J38" s="8">
        <f t="shared" ref="J38" si="87">+J22/J14</f>
        <v>-0.15494692162916332</v>
      </c>
      <c r="K38" s="8">
        <f t="shared" ref="K38" si="88">+K22/K14</f>
        <v>-0.21791943821147408</v>
      </c>
      <c r="L38" s="8">
        <f t="shared" ref="L38" si="89">+L22/L14</f>
        <v>-0.14942199372946335</v>
      </c>
      <c r="M38" s="8">
        <f>+M22/M14</f>
        <v>-5.265832349468709E-2</v>
      </c>
      <c r="N38" s="8">
        <f t="shared" ref="N38" si="90">+N22/N14</f>
        <v>6.0000000000000067E-2</v>
      </c>
      <c r="P38" s="8">
        <f t="shared" ref="P38:Q38" si="91">+P22/P14</f>
        <v>-0.35062600777767244</v>
      </c>
      <c r="Q38" s="8">
        <f t="shared" si="91"/>
        <v>-0.35452420474948326</v>
      </c>
      <c r="R38" s="8">
        <f t="shared" ref="R38:T38" si="92">+R22/R14</f>
        <v>-0.33116269275402777</v>
      </c>
      <c r="S38" s="8">
        <f t="shared" si="92"/>
        <v>-0.26997211924862169</v>
      </c>
      <c r="T38" s="8">
        <f t="shared" si="92"/>
        <v>-0.13887728600704333</v>
      </c>
      <c r="U38" s="8">
        <f t="shared" ref="U38:Z38" si="93">+U22/U14</f>
        <v>-8.1341482631333589E-2</v>
      </c>
      <c r="V38" s="8">
        <f t="shared" si="93"/>
        <v>3.5000000000000073E-2</v>
      </c>
      <c r="W38" s="8">
        <f t="shared" si="93"/>
        <v>0.15000000000000002</v>
      </c>
      <c r="X38" s="8">
        <f t="shared" si="93"/>
        <v>0.22500000000000001</v>
      </c>
      <c r="Y38" s="8">
        <f t="shared" si="93"/>
        <v>0.28499999999999992</v>
      </c>
      <c r="Z38" s="8">
        <f t="shared" si="93"/>
        <v>0.28499999999999998</v>
      </c>
      <c r="AA38" s="8">
        <f t="shared" ref="AA38:AB38" si="94">+AA22/AA14</f>
        <v>0.28499999999999992</v>
      </c>
      <c r="AB38" s="8">
        <f t="shared" si="94"/>
        <v>0.28500000000000003</v>
      </c>
    </row>
    <row r="39" spans="2:31" x14ac:dyDescent="0.2">
      <c r="J39" s="3"/>
    </row>
    <row r="40" spans="2:31" x14ac:dyDescent="0.2">
      <c r="B40" s="1" t="s">
        <v>41</v>
      </c>
      <c r="C40" s="3"/>
      <c r="D40" s="3"/>
      <c r="E40" s="3"/>
      <c r="F40" s="3"/>
      <c r="G40" s="3">
        <v>53.73</v>
      </c>
      <c r="H40" s="3">
        <f>28.428-G40</f>
        <v>-25.301999999999996</v>
      </c>
      <c r="I40" s="3">
        <f>66.85-H40-G40</f>
        <v>38.42199999999999</v>
      </c>
      <c r="J40" s="3">
        <f>+T40-I40-H40-G40</f>
        <v>54.627000000000002</v>
      </c>
      <c r="K40" s="3">
        <v>63.613</v>
      </c>
      <c r="L40" s="3">
        <f>62.215-K40</f>
        <v>-1.3979999999999961</v>
      </c>
      <c r="M40" s="3">
        <f>99.653-L40-K40</f>
        <v>37.438000000000002</v>
      </c>
      <c r="P40" s="3">
        <v>-29.54</v>
      </c>
      <c r="Q40" s="3">
        <v>-42.673000000000002</v>
      </c>
      <c r="R40" s="3">
        <v>6.98</v>
      </c>
      <c r="S40" s="3">
        <v>-12.97</v>
      </c>
      <c r="T40" s="3">
        <v>121.477</v>
      </c>
      <c r="U40" s="3"/>
      <c r="V40" s="3"/>
      <c r="W40" s="3"/>
      <c r="X40" s="3"/>
      <c r="Y40" s="3"/>
      <c r="Z40" s="3"/>
    </row>
    <row r="41" spans="2:31" x14ac:dyDescent="0.2">
      <c r="B41" s="1" t="s">
        <v>42</v>
      </c>
      <c r="C41" s="3"/>
      <c r="D41" s="3"/>
      <c r="E41" s="3"/>
      <c r="F41" s="3"/>
      <c r="G41" s="3">
        <v>0.623</v>
      </c>
      <c r="H41" s="3">
        <f>1.258-G41</f>
        <v>0.63500000000000001</v>
      </c>
      <c r="I41" s="3">
        <f>3.336-H41-G41</f>
        <v>2.0779999999999994</v>
      </c>
      <c r="J41" s="3"/>
      <c r="K41" s="3">
        <v>0.53900000000000003</v>
      </c>
      <c r="L41" s="3">
        <f>1.59-K41</f>
        <v>1.0510000000000002</v>
      </c>
      <c r="M41" s="3">
        <f>3.571-L41-K41</f>
        <v>1.9809999999999999</v>
      </c>
      <c r="P41" s="3">
        <v>3.5640000000000001</v>
      </c>
      <c r="Q41" s="3">
        <v>11.773</v>
      </c>
      <c r="R41" s="3">
        <v>8.0719999999999992</v>
      </c>
      <c r="S41" s="3">
        <v>7.2439999999999998</v>
      </c>
      <c r="T41" s="3">
        <v>6.0739999999999998</v>
      </c>
      <c r="U41" s="3"/>
      <c r="V41" s="3"/>
      <c r="W41" s="3"/>
      <c r="X41" s="3"/>
      <c r="Y41" s="3"/>
      <c r="Z41" s="3"/>
    </row>
    <row r="42" spans="2:31" x14ac:dyDescent="0.2">
      <c r="B42" s="4" t="s">
        <v>43</v>
      </c>
      <c r="C42" s="5">
        <f t="shared" ref="C42:L42" si="95">+C40-C41</f>
        <v>0</v>
      </c>
      <c r="D42" s="5">
        <f t="shared" si="95"/>
        <v>0</v>
      </c>
      <c r="E42" s="5">
        <f t="shared" si="95"/>
        <v>0</v>
      </c>
      <c r="F42" s="5">
        <f t="shared" si="95"/>
        <v>0</v>
      </c>
      <c r="G42" s="5">
        <f t="shared" si="95"/>
        <v>53.106999999999999</v>
      </c>
      <c r="H42" s="5">
        <f t="shared" si="95"/>
        <v>-25.936999999999998</v>
      </c>
      <c r="I42" s="5">
        <f t="shared" si="95"/>
        <v>36.343999999999994</v>
      </c>
      <c r="J42" s="5">
        <f t="shared" si="95"/>
        <v>54.627000000000002</v>
      </c>
      <c r="K42" s="5">
        <f t="shared" si="95"/>
        <v>63.073999999999998</v>
      </c>
      <c r="L42" s="5">
        <f t="shared" si="95"/>
        <v>-2.4489999999999963</v>
      </c>
      <c r="M42" s="5">
        <f>+M40-M41</f>
        <v>35.457000000000001</v>
      </c>
      <c r="P42" s="5">
        <f t="shared" ref="P42:Q42" si="96">+P40-P41</f>
        <v>-33.103999999999999</v>
      </c>
      <c r="Q42" s="5">
        <f t="shared" si="96"/>
        <v>-54.445999999999998</v>
      </c>
      <c r="R42" s="5">
        <f>+R40-R41</f>
        <v>-1.0919999999999987</v>
      </c>
      <c r="S42" s="5">
        <f t="shared" ref="S42:T42" si="97">+S40-S41</f>
        <v>-20.213999999999999</v>
      </c>
      <c r="T42" s="5">
        <f t="shared" si="97"/>
        <v>115.40300000000001</v>
      </c>
      <c r="U42" s="5"/>
      <c r="V42" s="5"/>
      <c r="W42" s="5"/>
      <c r="X42" s="5"/>
      <c r="Y42" s="5"/>
      <c r="Z42" s="5"/>
    </row>
    <row r="43" spans="2:31" x14ac:dyDescent="0.2">
      <c r="B43" s="1" t="s">
        <v>73</v>
      </c>
      <c r="J43" s="3">
        <f t="shared" ref="J43:L43" si="98">+SUM(G42:J42)</f>
        <v>118.14099999999999</v>
      </c>
      <c r="K43" s="3">
        <f t="shared" si="98"/>
        <v>128.108</v>
      </c>
      <c r="L43" s="3">
        <f t="shared" si="98"/>
        <v>151.59600000000003</v>
      </c>
      <c r="M43" s="3">
        <f>+SUM(J42:M42)</f>
        <v>150.709</v>
      </c>
    </row>
    <row r="45" spans="2:31" x14ac:dyDescent="0.2">
      <c r="B45" s="1" t="s">
        <v>56</v>
      </c>
      <c r="G45" s="10">
        <f t="shared" ref="G45:L45" si="99">+G18/G$14</f>
        <v>0.49617953730856962</v>
      </c>
      <c r="H45" s="10">
        <f t="shared" si="99"/>
        <v>0.46233638751176875</v>
      </c>
      <c r="I45" s="10">
        <f t="shared" si="99"/>
        <v>0.44573818883997252</v>
      </c>
      <c r="J45" s="10">
        <f t="shared" si="99"/>
        <v>0.46094995218361506</v>
      </c>
      <c r="K45" s="10">
        <f t="shared" si="99"/>
        <v>0.48704614913407945</v>
      </c>
      <c r="L45" s="10">
        <f t="shared" si="99"/>
        <v>0.46336504855587324</v>
      </c>
      <c r="M45" s="10">
        <f>+M18/M$14</f>
        <v>0.41171948051948054</v>
      </c>
      <c r="N45" s="10">
        <f t="shared" ref="N45" si="100">+N18/N$14</f>
        <v>0.36499999999999999</v>
      </c>
      <c r="P45" s="10">
        <f t="shared" ref="P45:T45" si="101">+P18/P$14</f>
        <v>0.53090439153941005</v>
      </c>
      <c r="Q45" s="10">
        <f t="shared" si="101"/>
        <v>0.55066228530776795</v>
      </c>
      <c r="R45" s="10">
        <f t="shared" si="101"/>
        <v>0.54005461316438197</v>
      </c>
      <c r="S45" s="10">
        <f t="shared" si="101"/>
        <v>0.54453210180368217</v>
      </c>
      <c r="T45" s="10">
        <f t="shared" si="101"/>
        <v>0.46509499937908905</v>
      </c>
      <c r="U45" s="10">
        <f t="shared" ref="U45:Z45" si="102">+U18/U$14</f>
        <v>0.42786342457989512</v>
      </c>
      <c r="V45" s="10">
        <f t="shared" si="102"/>
        <v>0.35</v>
      </c>
      <c r="W45" s="10">
        <f t="shared" si="102"/>
        <v>0.3</v>
      </c>
      <c r="X45" s="10">
        <f t="shared" si="102"/>
        <v>0.25</v>
      </c>
      <c r="Y45" s="10">
        <f t="shared" si="102"/>
        <v>0.2</v>
      </c>
      <c r="Z45" s="10">
        <f t="shared" si="102"/>
        <v>0.19999999999999998</v>
      </c>
      <c r="AA45" s="10">
        <f t="shared" ref="AA45:AB45" si="103">+AA18/AA$14</f>
        <v>0.20000000000000004</v>
      </c>
      <c r="AB45" s="10">
        <f t="shared" si="103"/>
        <v>0.2</v>
      </c>
    </row>
    <row r="46" spans="2:31" x14ac:dyDescent="0.2">
      <c r="B46" s="1" t="s">
        <v>57</v>
      </c>
      <c r="G46" s="10">
        <f t="shared" ref="G46:M46" si="104">+G19/G$14</f>
        <v>0.31719615509938093</v>
      </c>
      <c r="H46" s="10">
        <f t="shared" si="104"/>
        <v>0.29594776670575829</v>
      </c>
      <c r="I46" s="10">
        <f t="shared" si="104"/>
        <v>0.29600081304944359</v>
      </c>
      <c r="J46" s="10">
        <f t="shared" si="104"/>
        <v>0.31779992227108184</v>
      </c>
      <c r="K46" s="10">
        <f>+K19/K$14</f>
        <v>0.32417364130495091</v>
      </c>
      <c r="L46" s="10">
        <f t="shared" si="104"/>
        <v>0.31157539389553435</v>
      </c>
      <c r="M46" s="10">
        <f t="shared" si="104"/>
        <v>0.28601652892561985</v>
      </c>
      <c r="N46" s="10">
        <f t="shared" ref="N46" si="105">+N19/N$14</f>
        <v>0.25</v>
      </c>
      <c r="P46" s="10">
        <f t="shared" ref="P46:T46" si="106">+P19/P$14</f>
        <v>0.35339324670397415</v>
      </c>
      <c r="Q46" s="10">
        <f t="shared" si="106"/>
        <v>0.34750669060605033</v>
      </c>
      <c r="R46" s="10">
        <f t="shared" si="106"/>
        <v>0.35342911618687495</v>
      </c>
      <c r="S46" s="10">
        <f t="shared" si="106"/>
        <v>0.32841032989626495</v>
      </c>
      <c r="T46" s="10">
        <f t="shared" si="106"/>
        <v>0.30655771114983804</v>
      </c>
      <c r="U46" s="10">
        <f t="shared" ref="U46:Z46" si="107">+U19/U$14</f>
        <v>0.2906320303184135</v>
      </c>
      <c r="V46" s="10">
        <f t="shared" si="107"/>
        <v>0.3</v>
      </c>
      <c r="W46" s="10">
        <f t="shared" si="107"/>
        <v>0.25</v>
      </c>
      <c r="X46" s="10">
        <f t="shared" si="107"/>
        <v>0.22500000000000001</v>
      </c>
      <c r="Y46" s="10">
        <f t="shared" si="107"/>
        <v>0.22500000000000001</v>
      </c>
      <c r="Z46" s="10">
        <f t="shared" si="107"/>
        <v>0.22500000000000001</v>
      </c>
      <c r="AA46" s="10">
        <f t="shared" ref="AA46:AB46" si="108">+AA19/AA$14</f>
        <v>0.22500000000000001</v>
      </c>
      <c r="AB46" s="10">
        <f t="shared" si="108"/>
        <v>0.22500000000000001</v>
      </c>
    </row>
    <row r="47" spans="2:31" x14ac:dyDescent="0.2">
      <c r="B47" s="1" t="s">
        <v>58</v>
      </c>
      <c r="G47" s="10">
        <f t="shared" ref="G47:M47" si="109">+G20/G$14</f>
        <v>0.10814597588791139</v>
      </c>
      <c r="H47" s="10">
        <f t="shared" si="109"/>
        <v>0.1087871144030902</v>
      </c>
      <c r="I47" s="10">
        <f t="shared" si="109"/>
        <v>0.11541837399350485</v>
      </c>
      <c r="J47" s="10">
        <f t="shared" si="109"/>
        <v>0.12589027995510932</v>
      </c>
      <c r="K47" s="10">
        <f t="shared" si="109"/>
        <v>0.13437914067129644</v>
      </c>
      <c r="L47" s="10">
        <f t="shared" si="109"/>
        <v>0.10623100590032818</v>
      </c>
      <c r="M47" s="10">
        <f t="shared" si="109"/>
        <v>9.9279338842975198E-2</v>
      </c>
      <c r="N47" s="10">
        <f t="shared" ref="N47" si="110">+N20/N$14</f>
        <v>8.5000000000000006E-2</v>
      </c>
      <c r="P47" s="10">
        <f t="shared" ref="P47:T47" si="111">+P20/P$14</f>
        <v>0.16907900976951531</v>
      </c>
      <c r="Q47" s="10">
        <f t="shared" si="111"/>
        <v>0.15641959415969375</v>
      </c>
      <c r="R47" s="10">
        <f t="shared" si="111"/>
        <v>0.14070328754769496</v>
      </c>
      <c r="S47" s="10">
        <f t="shared" si="111"/>
        <v>0.12499454845643437</v>
      </c>
      <c r="T47" s="10">
        <f t="shared" si="111"/>
        <v>0.11500697262228232</v>
      </c>
      <c r="U47" s="10">
        <f t="shared" ref="U47:Z47" si="112">+U20/U$14</f>
        <v>0.1048177224873556</v>
      </c>
      <c r="V47" s="10">
        <f t="shared" si="112"/>
        <v>7.4999999999999997E-2</v>
      </c>
      <c r="W47" s="10">
        <f t="shared" si="112"/>
        <v>6.0000000000000005E-2</v>
      </c>
      <c r="X47" s="10">
        <f t="shared" si="112"/>
        <v>0.06</v>
      </c>
      <c r="Y47" s="10">
        <f t="shared" si="112"/>
        <v>0.05</v>
      </c>
      <c r="Z47" s="10">
        <f t="shared" si="112"/>
        <v>4.9999999999999996E-2</v>
      </c>
      <c r="AA47" s="10">
        <f t="shared" ref="AA47:AB47" si="113">+AA20/AA$14</f>
        <v>5.000000000000001E-2</v>
      </c>
      <c r="AB47" s="10">
        <f t="shared" si="113"/>
        <v>0.05</v>
      </c>
    </row>
    <row r="49" spans="2:28" x14ac:dyDescent="0.2">
      <c r="B49" s="1" t="s">
        <v>63</v>
      </c>
      <c r="T49" s="3">
        <v>1177</v>
      </c>
      <c r="U49" s="3">
        <f>+T49+U27</f>
        <v>1114.8931161600001</v>
      </c>
      <c r="V49" s="3">
        <f t="shared" ref="V49:AB49" si="114">+U49+V27</f>
        <v>1229.8044889784003</v>
      </c>
      <c r="W49" s="3">
        <f t="shared" si="114"/>
        <v>1654.4886847555363</v>
      </c>
      <c r="X49" s="3">
        <f t="shared" si="114"/>
        <v>2395.2350095929578</v>
      </c>
      <c r="Y49" s="3">
        <f t="shared" si="114"/>
        <v>3514.5483115981078</v>
      </c>
      <c r="Z49" s="3">
        <f t="shared" si="114"/>
        <v>4881.3135658996071</v>
      </c>
      <c r="AA49" s="3">
        <f t="shared" si="114"/>
        <v>6545.7625986217236</v>
      </c>
      <c r="AB49" s="3">
        <f t="shared" si="114"/>
        <v>8568.1830449390982</v>
      </c>
    </row>
    <row r="51" spans="2:28" x14ac:dyDescent="0.2">
      <c r="B51" s="1" t="s">
        <v>74</v>
      </c>
      <c r="G51" s="14">
        <f>+(G14*1000)/(G3)</f>
        <v>8.5447795823665889</v>
      </c>
      <c r="H51" s="14">
        <f t="shared" ref="H51:N51" si="115">+(H14*1000)/(H3)</f>
        <v>9.4175777777777778</v>
      </c>
      <c r="I51" s="14">
        <f t="shared" si="115"/>
        <v>9.3305603448275853</v>
      </c>
      <c r="J51" s="14">
        <f t="shared" si="115"/>
        <v>9.5816317991631799</v>
      </c>
      <c r="K51" s="14">
        <f t="shared" si="115"/>
        <v>9.1577439024390248</v>
      </c>
      <c r="L51" s="14">
        <f t="shared" si="115"/>
        <v>9.4301577909270211</v>
      </c>
      <c r="M51" s="14">
        <f t="shared" si="115"/>
        <v>10.064163498098859</v>
      </c>
      <c r="N51" s="14">
        <f t="shared" si="115"/>
        <v>10.335096826748623</v>
      </c>
      <c r="P51" s="14"/>
      <c r="Q51" s="14"/>
      <c r="R51" s="14"/>
      <c r="S51" s="14"/>
      <c r="T51" s="14">
        <f t="shared" ref="T51:AB51" si="116">+(T14*1000)/(T3)</f>
        <v>35.209435146443518</v>
      </c>
      <c r="U51" s="14">
        <f t="shared" si="116"/>
        <v>37.328931758433008</v>
      </c>
      <c r="V51" s="14">
        <f t="shared" si="116"/>
        <v>41.144251834414625</v>
      </c>
      <c r="W51" s="14">
        <f t="shared" si="116"/>
        <v>45.368689465457471</v>
      </c>
      <c r="X51" s="14">
        <f t="shared" si="116"/>
        <v>48.085127577718964</v>
      </c>
      <c r="Y51" s="14">
        <f t="shared" si="116"/>
        <v>50.972336502535619</v>
      </c>
      <c r="Z51" s="14">
        <f t="shared" si="116"/>
        <v>54.040828700368891</v>
      </c>
      <c r="AA51" s="14">
        <f t="shared" si="116"/>
        <v>57.301769605224955</v>
      </c>
      <c r="AB51" s="14">
        <f t="shared" si="116"/>
        <v>60.767018027639359</v>
      </c>
    </row>
    <row r="52" spans="2:28" x14ac:dyDescent="0.2">
      <c r="B52" s="1" t="s">
        <v>75</v>
      </c>
      <c r="J52" s="8">
        <f t="shared" ref="J52:L52" si="117">+J51/G51-1</f>
        <v>0.1213433543606306</v>
      </c>
      <c r="K52" s="8">
        <f t="shared" si="117"/>
        <v>-2.7590308407313691E-2</v>
      </c>
      <c r="L52" s="8">
        <f t="shared" si="117"/>
        <v>1.0674326344681795E-2</v>
      </c>
      <c r="M52" s="8">
        <f>+M51/J51-1</f>
        <v>5.0360075303438556E-2</v>
      </c>
      <c r="N52" s="8">
        <f t="shared" ref="N52" si="118">+N51/K51-1</f>
        <v>0.12856364371535101</v>
      </c>
      <c r="U52" s="10">
        <f>+U51/T51-1</f>
        <v>6.0196836534697429E-2</v>
      </c>
      <c r="V52" s="10">
        <f t="shared" ref="V52:AB52" si="119">+V51/U51-1</f>
        <v>0.10220812373286559</v>
      </c>
      <c r="W52" s="10">
        <f t="shared" si="119"/>
        <v>0.10267382301771177</v>
      </c>
      <c r="X52" s="10">
        <f t="shared" si="119"/>
        <v>5.9874731764727684E-2</v>
      </c>
      <c r="Y52" s="10">
        <f t="shared" si="119"/>
        <v>6.0043698961807168E-2</v>
      </c>
      <c r="Z52" s="10">
        <f t="shared" si="119"/>
        <v>6.019916700661021E-2</v>
      </c>
      <c r="AA52" s="10">
        <f t="shared" si="119"/>
        <v>6.0342170600981238E-2</v>
      </c>
      <c r="AB52" s="10">
        <f t="shared" si="119"/>
        <v>6.0473672039937032E-2</v>
      </c>
    </row>
    <row r="54" spans="2:28" x14ac:dyDescent="0.2">
      <c r="B54" s="1" t="s">
        <v>76</v>
      </c>
      <c r="T54" s="1">
        <v>2338</v>
      </c>
    </row>
  </sheetData>
  <hyperlinks>
    <hyperlink ref="A1" location="main!A1" display="main" xr:uid="{E07E8324-EA78-4414-BDCA-8EF27030F7EA}"/>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2024-12-13T16:48:57Z</dcterms:created>
  <dcterms:modified xsi:type="dcterms:W3CDTF">2024-12-29T11:46:12Z</dcterms:modified>
</cp:coreProperties>
</file>