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78" documentId="13_ncr:1_{F0A74E70-9262-4DBD-BFC0-33D501CAAA29}" xr6:coauthVersionLast="47" xr6:coauthVersionMax="47" xr10:uidLastSave="{E8E84B3C-ED57-46CF-B2E9-33936A6BB38B}"/>
  <bookViews>
    <workbookView xWindow="14295" yWindow="0" windowWidth="14610" windowHeight="15585" activeTab="1" xr2:uid="{B88F87C1-C64B-47B3-B155-EDFC68106471}"/>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41" i="2" l="1"/>
  <c r="AC41" i="2"/>
  <c r="AB41" i="2"/>
  <c r="AA41" i="2"/>
  <c r="Z41" i="2"/>
  <c r="Y41" i="2"/>
  <c r="X41" i="2"/>
  <c r="W41" i="2"/>
  <c r="V41" i="2"/>
  <c r="U41" i="2"/>
  <c r="T41" i="2"/>
  <c r="S41" i="2"/>
  <c r="AD39" i="2"/>
  <c r="AC39" i="2"/>
  <c r="AB39" i="2"/>
  <c r="AA39" i="2"/>
  <c r="Z39" i="2"/>
  <c r="Y39" i="2"/>
  <c r="X39" i="2"/>
  <c r="W39" i="2"/>
  <c r="V39" i="2"/>
  <c r="U39" i="2"/>
  <c r="T39" i="2"/>
  <c r="S39" i="2"/>
  <c r="AD40" i="2"/>
  <c r="AC40" i="2"/>
  <c r="AB40" i="2"/>
  <c r="AA40" i="2"/>
  <c r="Z40" i="2"/>
  <c r="Y40" i="2"/>
  <c r="X40" i="2"/>
  <c r="W40" i="2"/>
  <c r="V40" i="2"/>
  <c r="U40" i="2"/>
  <c r="T40" i="2"/>
  <c r="S40" i="2"/>
  <c r="AE33" i="2"/>
  <c r="AD33" i="2"/>
  <c r="AC33" i="2"/>
  <c r="AB33" i="2"/>
  <c r="AA33" i="2"/>
  <c r="Z33" i="2"/>
  <c r="Y33" i="2"/>
  <c r="X33" i="2"/>
  <c r="W33" i="2"/>
  <c r="V33" i="2"/>
  <c r="U33" i="2"/>
  <c r="T33" i="2"/>
  <c r="AD25" i="2"/>
  <c r="AC25" i="2"/>
  <c r="AB25" i="2"/>
  <c r="AA25" i="2"/>
  <c r="Z25" i="2"/>
  <c r="Y25" i="2"/>
  <c r="X25" i="2"/>
  <c r="W25" i="2"/>
  <c r="V25" i="2"/>
  <c r="U25" i="2"/>
  <c r="T25" i="2"/>
  <c r="S25" i="2"/>
  <c r="AD23" i="2"/>
  <c r="AC23" i="2"/>
  <c r="AB23" i="2"/>
  <c r="AA23" i="2"/>
  <c r="Z23" i="2"/>
  <c r="Y23" i="2"/>
  <c r="X23" i="2"/>
  <c r="W23" i="2"/>
  <c r="V23" i="2"/>
  <c r="U23" i="2"/>
  <c r="T23" i="2"/>
  <c r="S23" i="2"/>
  <c r="AC20" i="2"/>
  <c r="AB20" i="2"/>
  <c r="AA20" i="2"/>
  <c r="Z20" i="2"/>
  <c r="Y20" i="2"/>
  <c r="X20" i="2"/>
  <c r="W20" i="2"/>
  <c r="V20" i="2"/>
  <c r="U20" i="2"/>
  <c r="T20" i="2"/>
  <c r="S20" i="2"/>
  <c r="AD20" i="2"/>
  <c r="AE19" i="2"/>
  <c r="AF19" i="2"/>
  <c r="AD14" i="2"/>
  <c r="AC14" i="2"/>
  <c r="AB14" i="2"/>
  <c r="AA14" i="2"/>
  <c r="Z14" i="2"/>
  <c r="Y14" i="2"/>
  <c r="X14" i="2"/>
  <c r="W14" i="2"/>
  <c r="V14" i="2"/>
  <c r="U14" i="2"/>
  <c r="T14" i="2"/>
  <c r="S14" i="2"/>
  <c r="AC2" i="2"/>
  <c r="AB2" i="2"/>
  <c r="AA2" i="2" s="1"/>
  <c r="Z2" i="2" s="1"/>
  <c r="Y2" i="2" s="1"/>
  <c r="X2" i="2" s="1"/>
  <c r="W2" i="2" s="1"/>
  <c r="V2" i="2" s="1"/>
  <c r="U2" i="2" s="1"/>
  <c r="T2" i="2" s="1"/>
  <c r="S2" i="2" s="1"/>
  <c r="AD2" i="2"/>
  <c r="AE12" i="2"/>
  <c r="AF12" i="2"/>
  <c r="AG12" i="2"/>
  <c r="AE14" i="2"/>
  <c r="AF14" i="2"/>
  <c r="AG14" i="2"/>
  <c r="AG19" i="2"/>
  <c r="AE20" i="2"/>
  <c r="AF20" i="2"/>
  <c r="AG20" i="2"/>
  <c r="AE21" i="2"/>
  <c r="AF21" i="2"/>
  <c r="AG21" i="2"/>
  <c r="AI32" i="2"/>
  <c r="AH32" i="2"/>
  <c r="AI31" i="2"/>
  <c r="AH31" i="2"/>
  <c r="AI30" i="2"/>
  <c r="AH30" i="2"/>
  <c r="AH29" i="2"/>
  <c r="AI29" i="2"/>
  <c r="AI13" i="2"/>
  <c r="AI10" i="2"/>
  <c r="AJ10" i="2" s="1"/>
  <c r="AK10" i="2" s="1"/>
  <c r="AL10" i="2" s="1"/>
  <c r="AI9" i="2"/>
  <c r="AI34" i="2" s="1"/>
  <c r="N35" i="2"/>
  <c r="N34" i="2"/>
  <c r="N21" i="2"/>
  <c r="N19" i="2"/>
  <c r="N12" i="2"/>
  <c r="N14" i="2" s="1"/>
  <c r="N39" i="2" s="1"/>
  <c r="B2" i="1" a="1"/>
  <c r="B2" i="1" s="1"/>
  <c r="B4" i="1" s="1"/>
  <c r="M92" i="2"/>
  <c r="M96" i="2"/>
  <c r="AI46" i="2"/>
  <c r="AJ46" i="2" s="1"/>
  <c r="AK46" i="2" s="1"/>
  <c r="AL46" i="2" s="1"/>
  <c r="AM46" i="2" s="1"/>
  <c r="AN46" i="2" s="1"/>
  <c r="AO46" i="2" s="1"/>
  <c r="AI47" i="2"/>
  <c r="I12" i="2"/>
  <c r="J12" i="2"/>
  <c r="J14" i="2" s="1"/>
  <c r="J39" i="2" s="1"/>
  <c r="D47" i="2"/>
  <c r="E47" i="2" s="1"/>
  <c r="F47" i="2" s="1"/>
  <c r="D46" i="2"/>
  <c r="E46" i="2" s="1"/>
  <c r="F46" i="2" s="1"/>
  <c r="H47" i="2"/>
  <c r="I47" i="2" s="1"/>
  <c r="J47" i="2" s="1"/>
  <c r="H46" i="2"/>
  <c r="I46" i="2" s="1"/>
  <c r="J46" i="2" s="1"/>
  <c r="M57" i="2"/>
  <c r="B6" i="1"/>
  <c r="B5" i="1"/>
  <c r="L44" i="2"/>
  <c r="M44" i="2"/>
  <c r="M94" i="2"/>
  <c r="L35" i="2"/>
  <c r="K35" i="2"/>
  <c r="J35" i="2"/>
  <c r="I35" i="2"/>
  <c r="L34" i="2"/>
  <c r="K34" i="2"/>
  <c r="J34" i="2"/>
  <c r="I34" i="2"/>
  <c r="M35" i="2"/>
  <c r="M34" i="2"/>
  <c r="L47" i="2"/>
  <c r="M47" i="2" s="1"/>
  <c r="N47" i="2" s="1"/>
  <c r="L46" i="2"/>
  <c r="L21" i="2"/>
  <c r="M19" i="2"/>
  <c r="M12" i="2"/>
  <c r="L19" i="2"/>
  <c r="L12" i="2"/>
  <c r="AH55" i="2"/>
  <c r="K44" i="2"/>
  <c r="K21" i="2"/>
  <c r="K48" i="2"/>
  <c r="K19" i="2"/>
  <c r="K12" i="2"/>
  <c r="K14" i="2" s="1"/>
  <c r="K39" i="2" s="1"/>
  <c r="AF34" i="2"/>
  <c r="AH35" i="2"/>
  <c r="AG35" i="2"/>
  <c r="AF35" i="2"/>
  <c r="AG34" i="2"/>
  <c r="AH34" i="2"/>
  <c r="AJ26" i="2"/>
  <c r="AK26" i="2" s="1"/>
  <c r="AL26" i="2" s="1"/>
  <c r="AM26" i="2" s="1"/>
  <c r="AN26" i="2" s="1"/>
  <c r="AO26" i="2" s="1"/>
  <c r="AG44" i="2"/>
  <c r="AH44" i="2"/>
  <c r="J44" i="2"/>
  <c r="AH21" i="2"/>
  <c r="AG86" i="2"/>
  <c r="AG78" i="2"/>
  <c r="AG74" i="2"/>
  <c r="AG81" i="2"/>
  <c r="AG77" i="2"/>
  <c r="AG69" i="2"/>
  <c r="AG67" i="2"/>
  <c r="AG62" i="2"/>
  <c r="AG58" i="2"/>
  <c r="AH86" i="2"/>
  <c r="AH72" i="2"/>
  <c r="AH81" i="2"/>
  <c r="AH78" i="2"/>
  <c r="AH77" i="2"/>
  <c r="AH67" i="2"/>
  <c r="AH69" i="2"/>
  <c r="AH62" i="2"/>
  <c r="AH58" i="2"/>
  <c r="D13" i="1"/>
  <c r="D12" i="1"/>
  <c r="D11" i="1"/>
  <c r="D10" i="1"/>
  <c r="C14" i="1"/>
  <c r="J21" i="2"/>
  <c r="F21" i="2"/>
  <c r="F19" i="2"/>
  <c r="F12" i="2"/>
  <c r="AE48" i="2"/>
  <c r="AE52" i="2" s="1"/>
  <c r="AG48" i="2"/>
  <c r="AG52" i="2" s="1"/>
  <c r="AF48" i="2"/>
  <c r="AF52" i="2" s="1"/>
  <c r="AH2" i="2"/>
  <c r="AI2" i="2" s="1"/>
  <c r="AJ2" i="2" s="1"/>
  <c r="AK2" i="2" s="1"/>
  <c r="AL2" i="2" s="1"/>
  <c r="AM2" i="2" s="1"/>
  <c r="AN2" i="2" s="1"/>
  <c r="AO2" i="2" s="1"/>
  <c r="C21" i="2"/>
  <c r="G21" i="2"/>
  <c r="D21" i="2"/>
  <c r="H21" i="2"/>
  <c r="G48" i="2"/>
  <c r="G52" i="2" s="1"/>
  <c r="C48" i="2"/>
  <c r="C52" i="2" s="1"/>
  <c r="J19" i="2"/>
  <c r="E21" i="2"/>
  <c r="I21" i="2"/>
  <c r="H19" i="2"/>
  <c r="G19" i="2"/>
  <c r="E19" i="2"/>
  <c r="D19" i="2"/>
  <c r="C19" i="2"/>
  <c r="I19" i="2"/>
  <c r="H12" i="2"/>
  <c r="H14" i="2" s="1"/>
  <c r="G12" i="2"/>
  <c r="G14" i="2" s="1"/>
  <c r="E12" i="2"/>
  <c r="E14" i="2" s="1"/>
  <c r="E39" i="2" s="1"/>
  <c r="D12" i="2"/>
  <c r="D14" i="2" s="1"/>
  <c r="C12" i="2"/>
  <c r="C14" i="2" s="1"/>
  <c r="C39" i="2" s="1"/>
  <c r="J48" i="2" l="1"/>
  <c r="N33" i="2"/>
  <c r="N20" i="2"/>
  <c r="AI48" i="2"/>
  <c r="AI52" i="2" s="1"/>
  <c r="AJ47" i="2"/>
  <c r="AK47" i="2" s="1"/>
  <c r="AL47" i="2" s="1"/>
  <c r="AM47" i="2" s="1"/>
  <c r="AN47" i="2" s="1"/>
  <c r="AO47" i="2" s="1"/>
  <c r="M33" i="2"/>
  <c r="F48" i="2"/>
  <c r="E48" i="2"/>
  <c r="D48" i="2"/>
  <c r="H48" i="2"/>
  <c r="H52" i="2" s="1"/>
  <c r="I48" i="2"/>
  <c r="I52" i="2" s="1"/>
  <c r="AH57" i="2"/>
  <c r="AG57" i="2"/>
  <c r="AJ9" i="2"/>
  <c r="AJ12" i="2" s="1"/>
  <c r="B7" i="1"/>
  <c r="AI35" i="2"/>
  <c r="L48" i="2"/>
  <c r="M46" i="2"/>
  <c r="AJ35" i="2"/>
  <c r="M14" i="2"/>
  <c r="L33" i="2"/>
  <c r="L14" i="2"/>
  <c r="K33" i="2"/>
  <c r="K20" i="2"/>
  <c r="AH70" i="2"/>
  <c r="AH82" i="2"/>
  <c r="AI12" i="2"/>
  <c r="AG82" i="2"/>
  <c r="AG70" i="2"/>
  <c r="AH19" i="2"/>
  <c r="I33" i="2"/>
  <c r="J33" i="2"/>
  <c r="AF33" i="2"/>
  <c r="AH48" i="2"/>
  <c r="AH52" i="2" s="1"/>
  <c r="AH12" i="2"/>
  <c r="J20" i="2"/>
  <c r="F14" i="2"/>
  <c r="F20" i="2" s="1"/>
  <c r="AG39" i="2"/>
  <c r="AG33" i="2"/>
  <c r="AF39" i="2"/>
  <c r="AE39" i="2"/>
  <c r="C20" i="2"/>
  <c r="C40" i="2" s="1"/>
  <c r="G33" i="2"/>
  <c r="G39" i="2"/>
  <c r="G20" i="2"/>
  <c r="I14" i="2"/>
  <c r="D39" i="2"/>
  <c r="D20" i="2"/>
  <c r="H20" i="2"/>
  <c r="H23" i="2" s="1"/>
  <c r="H25" i="2" s="1"/>
  <c r="H33" i="2"/>
  <c r="H39" i="2"/>
  <c r="E20" i="2"/>
  <c r="N23" i="2" l="1"/>
  <c r="N25" i="2" s="1"/>
  <c r="N40" i="2"/>
  <c r="M48" i="2"/>
  <c r="M49" i="2" s="1"/>
  <c r="N46" i="2"/>
  <c r="N48" i="2" s="1"/>
  <c r="N49" i="2" s="1"/>
  <c r="G7" i="1" s="1"/>
  <c r="AK48" i="2"/>
  <c r="AK52" i="2" s="1"/>
  <c r="AJ48" i="2"/>
  <c r="AJ52" i="2" s="1"/>
  <c r="E52" i="2"/>
  <c r="H49" i="2"/>
  <c r="F52" i="2"/>
  <c r="I49" i="2"/>
  <c r="D52" i="2"/>
  <c r="G49" i="2"/>
  <c r="F49" i="2"/>
  <c r="AL48" i="2"/>
  <c r="AL52" i="2" s="1"/>
  <c r="J49" i="2"/>
  <c r="L49" i="2"/>
  <c r="K49" i="2"/>
  <c r="L20" i="2"/>
  <c r="L39" i="2"/>
  <c r="M20" i="2"/>
  <c r="M39" i="2"/>
  <c r="AK9" i="2"/>
  <c r="AK12" i="2" s="1"/>
  <c r="AJ34" i="2"/>
  <c r="AJ16" i="2"/>
  <c r="AJ13" i="2"/>
  <c r="AJ14" i="2" s="1"/>
  <c r="AJ39" i="2" s="1"/>
  <c r="AJ15" i="2"/>
  <c r="AK35" i="2"/>
  <c r="AF23" i="2"/>
  <c r="AF88" i="2"/>
  <c r="AH84" i="2"/>
  <c r="AG23" i="2"/>
  <c r="AG88" i="2"/>
  <c r="AG84" i="2"/>
  <c r="K23" i="2"/>
  <c r="K25" i="2" s="1"/>
  <c r="K40" i="2"/>
  <c r="AI33" i="2"/>
  <c r="AJ17" i="2"/>
  <c r="AJ18" i="2"/>
  <c r="AI14" i="2"/>
  <c r="AI39" i="2" s="1"/>
  <c r="AJ33" i="2"/>
  <c r="H41" i="2"/>
  <c r="H27" i="2"/>
  <c r="J23" i="2"/>
  <c r="J25" i="2" s="1"/>
  <c r="J40" i="2"/>
  <c r="AH14" i="2"/>
  <c r="AH39" i="2" s="1"/>
  <c r="AH33" i="2"/>
  <c r="F39" i="2"/>
  <c r="AG40" i="2"/>
  <c r="AF40" i="2"/>
  <c r="AE40" i="2"/>
  <c r="AE23" i="2"/>
  <c r="AE25" i="2" s="1"/>
  <c r="C23" i="2"/>
  <c r="C25" i="2" s="1"/>
  <c r="G23" i="2"/>
  <c r="G25" i="2" s="1"/>
  <c r="G40" i="2"/>
  <c r="F23" i="2"/>
  <c r="F25" i="2" s="1"/>
  <c r="F40" i="2"/>
  <c r="I20" i="2"/>
  <c r="I39" i="2"/>
  <c r="E23" i="2"/>
  <c r="E25" i="2" s="1"/>
  <c r="E40" i="2"/>
  <c r="D40" i="2"/>
  <c r="D23" i="2"/>
  <c r="D25" i="2" s="1"/>
  <c r="H40" i="2"/>
  <c r="AG25" i="2" l="1"/>
  <c r="AG27" i="2" s="1"/>
  <c r="AF25" i="2"/>
  <c r="AF27" i="2" s="1"/>
  <c r="M23" i="2"/>
  <c r="M25" i="2" s="1"/>
  <c r="N41" i="2"/>
  <c r="N27" i="2"/>
  <c r="AM48" i="2"/>
  <c r="AM52" i="2" s="1"/>
  <c r="AK34" i="2"/>
  <c r="AL9" i="2"/>
  <c r="AL12" i="2" s="1"/>
  <c r="M40" i="2"/>
  <c r="L23" i="2"/>
  <c r="L25" i="2" s="1"/>
  <c r="L40" i="2"/>
  <c r="AK16" i="2"/>
  <c r="AK13" i="2"/>
  <c r="AK14" i="2" s="1"/>
  <c r="AK18" i="2"/>
  <c r="AK15" i="2"/>
  <c r="AM10" i="2"/>
  <c r="AL35" i="2"/>
  <c r="K27" i="2"/>
  <c r="K41" i="2"/>
  <c r="AI19" i="2"/>
  <c r="AI20" i="2" s="1"/>
  <c r="AJ19" i="2"/>
  <c r="AJ20" i="2" s="1"/>
  <c r="AK17" i="2"/>
  <c r="AK33" i="2"/>
  <c r="E41" i="2"/>
  <c r="E27" i="2"/>
  <c r="J27" i="2"/>
  <c r="J41" i="2"/>
  <c r="D41" i="2"/>
  <c r="D27" i="2"/>
  <c r="AH20" i="2"/>
  <c r="F41" i="2"/>
  <c r="F27" i="2"/>
  <c r="AE41" i="2"/>
  <c r="AE27" i="2"/>
  <c r="C41" i="2"/>
  <c r="C27" i="2"/>
  <c r="G41" i="2"/>
  <c r="G27" i="2"/>
  <c r="I40" i="2"/>
  <c r="I23" i="2"/>
  <c r="I25" i="2" s="1"/>
  <c r="AG41" i="2" l="1"/>
  <c r="AF41" i="2"/>
  <c r="M27" i="2"/>
  <c r="M41" i="2"/>
  <c r="AO48" i="2"/>
  <c r="AO52" i="2" s="1"/>
  <c r="AN48" i="2"/>
  <c r="AN52" i="2" s="1"/>
  <c r="L27" i="2"/>
  <c r="L41" i="2"/>
  <c r="AL34" i="2"/>
  <c r="AM9" i="2"/>
  <c r="AN10" i="2"/>
  <c r="AM35" i="2"/>
  <c r="AL13" i="2"/>
  <c r="AL14" i="2" s="1"/>
  <c r="AL16" i="2"/>
  <c r="AL18" i="2"/>
  <c r="AL15" i="2"/>
  <c r="AJ88" i="2"/>
  <c r="AH23" i="2"/>
  <c r="AH25" i="2" s="1"/>
  <c r="AH27" i="2" s="1"/>
  <c r="AH88" i="2"/>
  <c r="AI23" i="2"/>
  <c r="AI88" i="2"/>
  <c r="AI40" i="2"/>
  <c r="AJ40" i="2"/>
  <c r="AL17" i="2"/>
  <c r="AK19" i="2"/>
  <c r="AK20" i="2" s="1"/>
  <c r="AK88" i="2" s="1"/>
  <c r="AK39" i="2"/>
  <c r="AL33" i="2"/>
  <c r="AM12" i="2"/>
  <c r="I41" i="2"/>
  <c r="I27" i="2"/>
  <c r="AH40" i="2"/>
  <c r="AH41" i="2" l="1"/>
  <c r="AM34" i="2"/>
  <c r="AN9" i="2"/>
  <c r="AM18" i="2"/>
  <c r="AM15" i="2"/>
  <c r="AM13" i="2"/>
  <c r="AM14" i="2" s="1"/>
  <c r="AM16" i="2"/>
  <c r="AO10" i="2"/>
  <c r="AO35" i="2" s="1"/>
  <c r="AN35" i="2"/>
  <c r="AI25" i="2"/>
  <c r="AM17" i="2"/>
  <c r="AL19" i="2"/>
  <c r="AL20" i="2" s="1"/>
  <c r="AL88" i="2" s="1"/>
  <c r="AN12" i="2"/>
  <c r="AM33" i="2"/>
  <c r="AL39" i="2"/>
  <c r="AK40" i="2"/>
  <c r="AO9" i="2" l="1"/>
  <c r="AO34" i="2" s="1"/>
  <c r="AN34" i="2"/>
  <c r="AI57" i="2"/>
  <c r="AJ21" i="2" s="1"/>
  <c r="AJ23" i="2" s="1"/>
  <c r="AJ24" i="2" s="1"/>
  <c r="AJ25" i="2" s="1"/>
  <c r="AJ27" i="2" s="1"/>
  <c r="AN18" i="2"/>
  <c r="AN13" i="2"/>
  <c r="AN14" i="2" s="1"/>
  <c r="AN15" i="2"/>
  <c r="AN16" i="2"/>
  <c r="AI27" i="2"/>
  <c r="AI41" i="2"/>
  <c r="AN17" i="2"/>
  <c r="AM19" i="2"/>
  <c r="AM20" i="2" s="1"/>
  <c r="AM88" i="2" s="1"/>
  <c r="AM39" i="2"/>
  <c r="AL40" i="2"/>
  <c r="AN33" i="2"/>
  <c r="AO12" i="2" l="1"/>
  <c r="AO17" i="2" s="1"/>
  <c r="AJ57" i="2"/>
  <c r="AK21" i="2" s="1"/>
  <c r="AK23" i="2" s="1"/>
  <c r="AK24" i="2" s="1"/>
  <c r="AK25" i="2" s="1"/>
  <c r="AK27" i="2" s="1"/>
  <c r="AJ41" i="2"/>
  <c r="AN19" i="2"/>
  <c r="AN20" i="2" s="1"/>
  <c r="AN88" i="2" s="1"/>
  <c r="AN39" i="2"/>
  <c r="AM40" i="2"/>
  <c r="AO13" i="2" l="1"/>
  <c r="AO14" i="2" s="1"/>
  <c r="AO39" i="2" s="1"/>
  <c r="AO33" i="2"/>
  <c r="AO15" i="2"/>
  <c r="AO18" i="2"/>
  <c r="AO16" i="2"/>
  <c r="AK41" i="2"/>
  <c r="AK57" i="2"/>
  <c r="AL21" i="2" s="1"/>
  <c r="AL23" i="2" s="1"/>
  <c r="AL24" i="2" s="1"/>
  <c r="AL25" i="2" s="1"/>
  <c r="AO19" i="2"/>
  <c r="AN40" i="2"/>
  <c r="AO20" i="2" l="1"/>
  <c r="AL27" i="2"/>
  <c r="AL41" i="2"/>
  <c r="AL57" i="2"/>
  <c r="AM21" i="2" s="1"/>
  <c r="AM23" i="2" s="1"/>
  <c r="AM24" i="2" s="1"/>
  <c r="AM25" i="2" s="1"/>
  <c r="AM57" i="2" s="1"/>
  <c r="AN21" i="2" s="1"/>
  <c r="AN23" i="2" s="1"/>
  <c r="AN24" i="2" s="1"/>
  <c r="AN25" i="2" s="1"/>
  <c r="AN57" i="2" s="1"/>
  <c r="AO40" i="2" l="1"/>
  <c r="AO88" i="2"/>
  <c r="AO21" i="2"/>
  <c r="AO23" i="2" s="1"/>
  <c r="AO24" i="2" s="1"/>
  <c r="AO25" i="2" s="1"/>
  <c r="AM41" i="2"/>
  <c r="AM27" i="2"/>
  <c r="AN27" i="2"/>
  <c r="AN41" i="2"/>
  <c r="AP25" i="2" l="1"/>
  <c r="AO41" i="2"/>
  <c r="AO27" i="2"/>
  <c r="AO57" i="2"/>
  <c r="AQ25" i="2" l="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AR36" i="2" s="1"/>
  <c r="AR37" i="2" l="1"/>
  <c r="AR3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<sst xmlns="http://schemas.openxmlformats.org/spreadsheetml/2006/main" count="118" uniqueCount="105">
  <si>
    <t>ticket</t>
  </si>
  <si>
    <t>price</t>
  </si>
  <si>
    <t>shares</t>
  </si>
  <si>
    <t>mc</t>
  </si>
  <si>
    <t>cash</t>
  </si>
  <si>
    <t>debt</t>
  </si>
  <si>
    <t>ev</t>
  </si>
  <si>
    <t>Q3 2022</t>
  </si>
  <si>
    <t>Q3 2023</t>
  </si>
  <si>
    <t>Q2 2023</t>
  </si>
  <si>
    <t>Q1 2023</t>
  </si>
  <si>
    <t>Q4 2022</t>
  </si>
  <si>
    <t xml:space="preserve">Q2 2022 </t>
  </si>
  <si>
    <t>Q1 2022</t>
  </si>
  <si>
    <t>COGS</t>
  </si>
  <si>
    <t>Gross Profit</t>
  </si>
  <si>
    <t>R&amp;D</t>
  </si>
  <si>
    <t>S&amp;M</t>
  </si>
  <si>
    <t>Provisions</t>
  </si>
  <si>
    <t>G&amp;A</t>
  </si>
  <si>
    <t>Total Opex</t>
  </si>
  <si>
    <t>Operating Income</t>
  </si>
  <si>
    <t>Net Interest</t>
  </si>
  <si>
    <t>FX losses</t>
  </si>
  <si>
    <t>Pretax Income</t>
  </si>
  <si>
    <t>Taxes</t>
  </si>
  <si>
    <t>Net Income</t>
  </si>
  <si>
    <t>Q4 2023</t>
  </si>
  <si>
    <t>Revenue Y/Y</t>
  </si>
  <si>
    <t>Gross Margin</t>
  </si>
  <si>
    <t>Operating Margin</t>
  </si>
  <si>
    <t>Net Margin</t>
  </si>
  <si>
    <t>CFFO</t>
  </si>
  <si>
    <t>CAPEX</t>
  </si>
  <si>
    <t>FCF</t>
  </si>
  <si>
    <t>SBC</t>
  </si>
  <si>
    <t>FCF-SBC</t>
  </si>
  <si>
    <t>Shares</t>
  </si>
  <si>
    <t>EPS</t>
  </si>
  <si>
    <t>Brazil</t>
  </si>
  <si>
    <t>Argentina</t>
  </si>
  <si>
    <t>Mexico</t>
  </si>
  <si>
    <t>Revenue</t>
  </si>
  <si>
    <t>%</t>
  </si>
  <si>
    <t>Others</t>
  </si>
  <si>
    <t>employees</t>
  </si>
  <si>
    <t>GMV</t>
  </si>
  <si>
    <t>Latin America population-&gt;over 650 million people</t>
  </si>
  <si>
    <t>Restricted cash</t>
  </si>
  <si>
    <t>A/R</t>
  </si>
  <si>
    <t>Credit card receivables</t>
  </si>
  <si>
    <t>Loans receivables</t>
  </si>
  <si>
    <t>Inventories</t>
  </si>
  <si>
    <t>Costumers Crypto Assets</t>
  </si>
  <si>
    <t>PP&amp;E</t>
  </si>
  <si>
    <t>Operating Lease</t>
  </si>
  <si>
    <t>Goodwill + Intangibles</t>
  </si>
  <si>
    <t>Deferred taxes</t>
  </si>
  <si>
    <t>other assets</t>
  </si>
  <si>
    <t>Total Assets</t>
  </si>
  <si>
    <t>A/P</t>
  </si>
  <si>
    <t xml:space="preserve">Funds payable </t>
  </si>
  <si>
    <t xml:space="preserve">Amount payable </t>
  </si>
  <si>
    <t xml:space="preserve">salaries </t>
  </si>
  <si>
    <t>taxes</t>
  </si>
  <si>
    <t>loans payables</t>
  </si>
  <si>
    <t>operating lease</t>
  </si>
  <si>
    <t xml:space="preserve">costumer crypto </t>
  </si>
  <si>
    <t>Deferred liabilities</t>
  </si>
  <si>
    <t>other liabilities</t>
  </si>
  <si>
    <t>Total Liabilities</t>
  </si>
  <si>
    <t>S/E</t>
  </si>
  <si>
    <t>Buffet Return</t>
  </si>
  <si>
    <t>GMV Y/Y</t>
  </si>
  <si>
    <t>Discount</t>
  </si>
  <si>
    <t>Maturity</t>
  </si>
  <si>
    <t>Net Cash</t>
  </si>
  <si>
    <t>Price</t>
  </si>
  <si>
    <t>12 aircrafts</t>
  </si>
  <si>
    <t>700 veículos adquiridos em 2023</t>
  </si>
  <si>
    <t>Mercado libre e-commerce</t>
  </si>
  <si>
    <t>Mercado envios logistics</t>
  </si>
  <si>
    <t>Mercado Ads</t>
  </si>
  <si>
    <t>Mercado pago e Mercado Pago Credits</t>
  </si>
  <si>
    <t>Commerce</t>
  </si>
  <si>
    <t>Fintech</t>
  </si>
  <si>
    <t>Commerce Y/Y</t>
  </si>
  <si>
    <t>Fintech Y/Y</t>
  </si>
  <si>
    <t>Q1 2024</t>
  </si>
  <si>
    <t>Contribution Margin</t>
  </si>
  <si>
    <t>Q2 2024</t>
  </si>
  <si>
    <t>Q3 2024</t>
  </si>
  <si>
    <t>ROIC</t>
  </si>
  <si>
    <t>NPV</t>
  </si>
  <si>
    <t>Fintech MAU</t>
  </si>
  <si>
    <t>TTM FCF</t>
  </si>
  <si>
    <t>Commerce Gross Margin</t>
  </si>
  <si>
    <t>Fintech Gross Margin</t>
  </si>
  <si>
    <t>Credit Loan Portfolio</t>
  </si>
  <si>
    <t>MELI unique active buyers</t>
  </si>
  <si>
    <t xml:space="preserve">Net Interest Margin </t>
  </si>
  <si>
    <t>EV/FCF</t>
  </si>
  <si>
    <t>Upside</t>
  </si>
  <si>
    <t>Q4 2024</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</si>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</sst>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_-[$$-409]* #,##0.00_ ;_-[$$-409]* \-#,##0.00\ ;_-[$$-409]* &quot;-&quot;??_ ;_-@_ "/>
    <numFmt numFmtId="166" formatCode="#,##0.0000"/>
    <numFmt numFmtId="167" formatCode="_-[$$-409]* #,##0_ ;_-[$$-409]* \-#,##0\ ;_-[$$-409]* &quot;-&quot;??_ ;_-@_ "/>
    <numFmt numFmtId="168" formatCode="0.0%"/>
    <numFmt numFmtId="169" formatCode="#,##0_ ;\-#,##0\ "/>
    <numFmt numFmtId="170" formatCode="0.0\x"/>
  </numFmts>
  <fonts count="6" x14ac:knownFonts="1">
    <font>
      <sz val="11"/>
      <color theme="1"/>
      <name val="Aptos Narrow"/>
      <family val="2"/>
      <scheme val="minor"/>
    </font>
    <font>
      <sz val="11"/>
      <color theme="1"/>
      <name val="Aptos Narrow"/>
      <family val="2"/>
      <scheme val="minor"/>
    </font>
    <font>
      <sz val="10"/>
      <color theme="1"/>
      <name val="Arial"/>
      <family val="2"/>
    </font>
    <font>
      <b/>
      <sz val="10"/>
      <color theme="1"/>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2" fillId="0" borderId="0" xfId="0" applyFont="1"/>
    <xf numFmtId="0" fontId="3" fillId="0" borderId="0" xfId="0" applyFont="1"/>
    <xf numFmtId="3" fontId="2" fillId="0" borderId="0" xfId="0" applyNumberFormat="1" applyFont="1"/>
    <xf numFmtId="9" fontId="2" fillId="0" borderId="0" xfId="0" applyNumberFormat="1" applyFont="1"/>
    <xf numFmtId="3" fontId="3"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4" fontId="2" fillId="0" borderId="0" xfId="0" applyNumberFormat="1" applyFont="1"/>
    <xf numFmtId="3" fontId="2" fillId="0" borderId="0" xfId="1" applyNumberFormat="1" applyFont="1"/>
    <xf numFmtId="168" fontId="2" fillId="0" borderId="0" xfId="0" applyNumberFormat="1" applyFont="1"/>
    <xf numFmtId="9" fontId="3" fillId="0" borderId="0" xfId="0" applyNumberFormat="1" applyFont="1"/>
    <xf numFmtId="169" fontId="2" fillId="0" borderId="0" xfId="0" applyNumberFormat="1" applyFont="1"/>
    <xf numFmtId="170" fontId="2" fillId="0" borderId="0" xfId="0" applyNumberFormat="1" applyFont="1"/>
    <xf numFmtId="3" fontId="5" fillId="0" borderId="0" xfId="0" applyNumberFormat="1" applyFont="1"/>
    <xf numFmtId="3" fontId="4"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TTM</a:t>
            </a:r>
            <a:r>
              <a:rPr lang="en-GB" baseline="0"/>
              <a:t> FCF</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col"/>
        <c:grouping val="clustered"/>
        <c:varyColors val="0"/>
        <c:ser>
          <c:idx val="0"/>
          <c:order val="0"/>
          <c:spPr>
            <a:solidFill>
              <a:schemeClr val="accent1"/>
            </a:solidFill>
            <a:ln>
              <a:noFill/>
            </a:ln>
            <a:effectLst/>
          </c:spPr>
          <c:invertIfNegative val="0"/>
          <c:cat>
            <c:strRef>
              <c:f>model!$F$2:$M$2</c:f>
              <c:strCache>
                <c:ptCount val="8"/>
                <c:pt idx="0">
                  <c:v>Q4 2022</c:v>
                </c:pt>
                <c:pt idx="1">
                  <c:v>Q1 2023</c:v>
                </c:pt>
                <c:pt idx="2">
                  <c:v>Q2 2023</c:v>
                </c:pt>
                <c:pt idx="3">
                  <c:v>Q3 2023</c:v>
                </c:pt>
                <c:pt idx="4">
                  <c:v>Q4 2023</c:v>
                </c:pt>
                <c:pt idx="5">
                  <c:v>Q1 2024</c:v>
                </c:pt>
                <c:pt idx="6">
                  <c:v>Q2 2024</c:v>
                </c:pt>
                <c:pt idx="7">
                  <c:v>Q3 2024</c:v>
                </c:pt>
              </c:strCache>
            </c:strRef>
          </c:cat>
          <c:val>
            <c:numRef>
              <c:f>model!$F$49:$M$49</c:f>
              <c:numCache>
                <c:formatCode>#,##0</c:formatCode>
                <c:ptCount val="8"/>
                <c:pt idx="0">
                  <c:v>2486</c:v>
                </c:pt>
                <c:pt idx="1">
                  <c:v>3626</c:v>
                </c:pt>
                <c:pt idx="2">
                  <c:v>4116</c:v>
                </c:pt>
                <c:pt idx="3">
                  <c:v>4313</c:v>
                </c:pt>
                <c:pt idx="4">
                  <c:v>4631</c:v>
                </c:pt>
                <c:pt idx="5">
                  <c:v>5225</c:v>
                </c:pt>
                <c:pt idx="6">
                  <c:v>5628</c:v>
                </c:pt>
                <c:pt idx="7">
                  <c:v>6191</c:v>
                </c:pt>
              </c:numCache>
            </c:numRef>
          </c:val>
          <c:extLst>
            <c:ext xmlns:c16="http://schemas.microsoft.com/office/drawing/2014/chart" uri="{C3380CC4-5D6E-409C-BE32-E72D297353CC}">
              <c16:uniqueId val="{00000000-A6B5-42AA-8A97-C1E271E61E0B}"/>
            </c:ext>
          </c:extLst>
        </c:ser>
        <c:dLbls>
          <c:showLegendKey val="0"/>
          <c:showVal val="0"/>
          <c:showCatName val="0"/>
          <c:showSerName val="0"/>
          <c:showPercent val="0"/>
          <c:showBubbleSize val="0"/>
        </c:dLbls>
        <c:gapWidth val="219"/>
        <c:overlap val="-27"/>
        <c:axId val="945725807"/>
        <c:axId val="945720047"/>
      </c:barChart>
      <c:catAx>
        <c:axId val="94572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20047"/>
        <c:crosses val="autoZero"/>
        <c:auto val="1"/>
        <c:lblAlgn val="ctr"/>
        <c:lblOffset val="100"/>
        <c:noMultiLvlLbl val="0"/>
      </c:catAx>
      <c:valAx>
        <c:axId val="9457200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25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9</xdr:col>
      <xdr:colOff>180975</xdr:colOff>
      <xdr:row>46</xdr:row>
      <xdr:rowOff>139412</xdr:rowOff>
    </xdr:to>
    <xdr:pic>
      <xdr:nvPicPr>
        <xdr:cNvPr id="2" name="Picture 1" descr=" ">
          <a:extLst>
            <a:ext uri="{FF2B5EF4-FFF2-40B4-BE49-F238E27FC236}">
              <a16:creationId xmlns:a16="http://schemas.microsoft.com/office/drawing/2014/main" id="{428739FD-4FEA-C6F0-2C8D-E58A228E7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1775"/>
          <a:ext cx="5915025" cy="4816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17</xdr:row>
      <xdr:rowOff>0</xdr:rowOff>
    </xdr:from>
    <xdr:to>
      <xdr:col>18</xdr:col>
      <xdr:colOff>304800</xdr:colOff>
      <xdr:row>33</xdr:row>
      <xdr:rowOff>152400</xdr:rowOff>
    </xdr:to>
    <xdr:graphicFrame macro="">
      <xdr:nvGraphicFramePr>
        <xdr:cNvPr id="3" name="Chart 2">
          <a:extLst>
            <a:ext uri="{FF2B5EF4-FFF2-40B4-BE49-F238E27FC236}">
              <a16:creationId xmlns:a16="http://schemas.microsoft.com/office/drawing/2014/main" id="{5231DDFC-175D-4CE8-AAF4-032D1D8BE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11963</xdr:colOff>
      <xdr:row>0</xdr:row>
      <xdr:rowOff>104</xdr:rowOff>
    </xdr:from>
    <xdr:to>
      <xdr:col>14</xdr:col>
      <xdr:colOff>21454</xdr:colOff>
      <xdr:row>100</xdr:row>
      <xdr:rowOff>16565</xdr:rowOff>
    </xdr:to>
    <xdr:cxnSp macro="">
      <xdr:nvCxnSpPr>
        <xdr:cNvPr id="3" name="Straight Connector 2">
          <a:extLst>
            <a:ext uri="{FF2B5EF4-FFF2-40B4-BE49-F238E27FC236}">
              <a16:creationId xmlns:a16="http://schemas.microsoft.com/office/drawing/2014/main" id="{953BC313-89CE-719E-EECA-D6950D7D5366}"/>
            </a:ext>
          </a:extLst>
        </xdr:cNvPr>
        <xdr:cNvCxnSpPr/>
      </xdr:nvCxnSpPr>
      <xdr:spPr>
        <a:xfrm flipH="1">
          <a:off x="9081880" y="104"/>
          <a:ext cx="9491" cy="14240461"/>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0</xdr:colOff>
      <xdr:row>0</xdr:row>
      <xdr:rowOff>0</xdr:rowOff>
    </xdr:from>
    <xdr:to>
      <xdr:col>35</xdr:col>
      <xdr:colOff>0</xdr:colOff>
      <xdr:row>93</xdr:row>
      <xdr:rowOff>76200</xdr:rowOff>
    </xdr:to>
    <xdr:cxnSp macro="">
      <xdr:nvCxnSpPr>
        <xdr:cNvPr id="6" name="Straight Connector 5">
          <a:extLst>
            <a:ext uri="{FF2B5EF4-FFF2-40B4-BE49-F238E27FC236}">
              <a16:creationId xmlns:a16="http://schemas.microsoft.com/office/drawing/2014/main" id="{8B5AEC42-B58F-4048-B4A5-803921FF4D2E}"/>
            </a:ext>
          </a:extLst>
        </xdr:cNvPr>
        <xdr:cNvCxnSpPr/>
      </xdr:nvCxnSpPr>
      <xdr:spPr>
        <a:xfrm>
          <a:off x="12805833" y="0"/>
          <a:ext cx="0" cy="141414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en-GB</v>
    <v>a1xh8m</v>
    <v>268435456</v>
    <v>1</v>
    <v>Powered by Refinitiv</v>
    <v>0</v>
    <v>MERCADOLIBRE, INC. (XNAS:MELI)</v>
    <v>2</v>
    <v>3</v>
    <v>Finance</v>
    <v>4</v>
    <v>2374.54</v>
    <v>1324.99</v>
    <v>1.6004</v>
    <v>27.7</v>
    <v>6.3139999999999993E-3</v>
    <v>1.3396999999999999E-2</v>
    <v>13.229900000000001</v>
    <v>USD</v>
    <v>MercadoLibre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84207</v>
    <v>Nasdaq Stock Market</v>
    <v>XNAS</v>
    <v>XNAS</v>
    <v>WTC Free Zone, Dr. Luis Bonavita 1294, Of. 1733, Tower II, MONTEVIDEO, 11300 UY</v>
    <v>2097.11</v>
    <v>Software &amp; IT Services</v>
    <v>Stock</v>
    <v>45737.999224628904</v>
    <v>0</v>
    <v>2020</v>
    <v>106224700000</v>
    <v>MERCADOLIBRE, INC.</v>
    <v>MERCADOLIBRE, INC.</v>
    <v>2037.5</v>
    <v>55.585999999999999</v>
    <v>2067.5700000000002</v>
    <v>2095.27</v>
    <v>2108.4998999999998</v>
    <v>50697380</v>
    <v>MELI</v>
    <v>MERCADOLIBRE, INC. (XNAS:MELI)</v>
    <v>442087</v>
    <v>501837</v>
    <v>1999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91210-B776-462E-A894-C22B0BDCAE87}">
  <dimension ref="A1:G54"/>
  <sheetViews>
    <sheetView workbookViewId="0">
      <selection activeCell="I7" sqref="I7"/>
    </sheetView>
  </sheetViews>
  <sheetFormatPr defaultColWidth="9.140625" defaultRowHeight="12.75" x14ac:dyDescent="0.2"/>
  <cols>
    <col min="1" max="1" width="9.140625" style="1"/>
    <col min="2" max="2" width="12.5703125" style="1" bestFit="1" customWidth="1"/>
    <col min="3" max="4" width="9.28515625" style="1" bestFit="1" customWidth="1"/>
    <col min="5" max="16384" width="9.140625" style="1"/>
  </cols>
  <sheetData>
    <row r="1" spans="1:7" x14ac:dyDescent="0.2">
      <c r="A1" s="1" t="s">
        <v>0</v>
      </c>
      <c r="B1" s="1" t="e" vm="1">
        <v>#VALUE!</v>
      </c>
    </row>
    <row r="2" spans="1:7" x14ac:dyDescent="0.2">
      <c r="A2" s="1" t="s">
        <v>1</v>
      </c>
      <c r="B2" s="9" cm="1">
        <f t="array" aca="1" ref="B2" ca="1">+_FV(B1,"Price")</f>
        <v>2095.27</v>
      </c>
    </row>
    <row r="3" spans="1:7" x14ac:dyDescent="0.2">
      <c r="A3" s="1" t="s">
        <v>2</v>
      </c>
      <c r="B3" s="3">
        <v>50.559536999999999</v>
      </c>
    </row>
    <row r="4" spans="1:7" x14ac:dyDescent="0.2">
      <c r="A4" s="1" t="s">
        <v>3</v>
      </c>
      <c r="B4" s="3">
        <f ca="1">B2*B3</f>
        <v>105935.88108999</v>
      </c>
    </row>
    <row r="5" spans="1:7" x14ac:dyDescent="0.2">
      <c r="A5" s="1" t="s">
        <v>4</v>
      </c>
      <c r="B5" s="3">
        <f>2162+1316+4511+1226</f>
        <v>9215</v>
      </c>
      <c r="C5" s="1" t="s">
        <v>91</v>
      </c>
    </row>
    <row r="6" spans="1:7" x14ac:dyDescent="0.2">
      <c r="A6" s="1" t="s">
        <v>5</v>
      </c>
      <c r="B6" s="3">
        <f>2250+3103</f>
        <v>5353</v>
      </c>
      <c r="C6" s="1" t="s">
        <v>91</v>
      </c>
    </row>
    <row r="7" spans="1:7" x14ac:dyDescent="0.2">
      <c r="A7" s="1" t="s">
        <v>6</v>
      </c>
      <c r="B7" s="3">
        <f ca="1">B4-B5+B6</f>
        <v>102073.88108999</v>
      </c>
      <c r="F7" s="2" t="s">
        <v>101</v>
      </c>
      <c r="G7" s="14">
        <f ca="1">+B7/model!N49</f>
        <v>14.462153739018135</v>
      </c>
    </row>
    <row r="9" spans="1:7" x14ac:dyDescent="0.2">
      <c r="A9" s="2" t="s">
        <v>42</v>
      </c>
      <c r="B9" s="1" t="s">
        <v>11</v>
      </c>
      <c r="C9" s="1" t="s">
        <v>27</v>
      </c>
      <c r="D9" s="1" t="s">
        <v>43</v>
      </c>
    </row>
    <row r="10" spans="1:7" x14ac:dyDescent="0.2">
      <c r="A10" s="1" t="s">
        <v>39</v>
      </c>
      <c r="B10" s="10">
        <v>1532</v>
      </c>
      <c r="C10" s="10">
        <v>2230</v>
      </c>
      <c r="D10" s="4">
        <f>C10/$C$14</f>
        <v>0.52335132597981693</v>
      </c>
    </row>
    <row r="11" spans="1:7" x14ac:dyDescent="0.2">
      <c r="A11" s="1" t="s">
        <v>40</v>
      </c>
      <c r="B11" s="10">
        <v>713</v>
      </c>
      <c r="C11" s="10">
        <v>923</v>
      </c>
      <c r="D11" s="4">
        <f t="shared" ref="D11:D13" si="0">C11/$C$14</f>
        <v>0.21661581788312603</v>
      </c>
    </row>
    <row r="12" spans="1:7" x14ac:dyDescent="0.2">
      <c r="A12" s="1" t="s">
        <v>41</v>
      </c>
      <c r="B12" s="10">
        <v>607</v>
      </c>
      <c r="C12" s="10">
        <v>919</v>
      </c>
      <c r="D12" s="4">
        <f t="shared" si="0"/>
        <v>0.21567707111006806</v>
      </c>
    </row>
    <row r="13" spans="1:7" x14ac:dyDescent="0.2">
      <c r="A13" s="1" t="s">
        <v>44</v>
      </c>
      <c r="B13" s="10">
        <v>150</v>
      </c>
      <c r="C13" s="10">
        <v>189</v>
      </c>
      <c r="D13" s="4">
        <f t="shared" si="0"/>
        <v>4.4355785026988968E-2</v>
      </c>
    </row>
    <row r="14" spans="1:7" x14ac:dyDescent="0.2">
      <c r="C14" s="3">
        <f>SUM(C10:C13)</f>
        <v>4261</v>
      </c>
    </row>
    <row r="16" spans="1:7" x14ac:dyDescent="0.2">
      <c r="A16" s="1" t="s">
        <v>47</v>
      </c>
    </row>
    <row r="48" spans="1:1" x14ac:dyDescent="0.2">
      <c r="A48" s="1" t="s">
        <v>78</v>
      </c>
    </row>
    <row r="49" spans="1:1" x14ac:dyDescent="0.2">
      <c r="A49" s="1" t="s">
        <v>79</v>
      </c>
    </row>
    <row r="51" spans="1:1" x14ac:dyDescent="0.2">
      <c r="A51" s="1" t="s">
        <v>80</v>
      </c>
    </row>
    <row r="52" spans="1:1" x14ac:dyDescent="0.2">
      <c r="A52" s="1" t="s">
        <v>81</v>
      </c>
    </row>
    <row r="53" spans="1:1" x14ac:dyDescent="0.2">
      <c r="A53" s="1" t="s">
        <v>83</v>
      </c>
    </row>
    <row r="54" spans="1:1" x14ac:dyDescent="0.2">
      <c r="A54" s="1" t="s">
        <v>82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67A13-CE9A-4222-8528-0212596531C2}">
  <dimension ref="B1:CR97"/>
  <sheetViews>
    <sheetView tabSelected="1" zoomScale="90" zoomScaleNormal="90" workbookViewId="0">
      <pane xSplit="2" ySplit="2" topLeftCell="W42" activePane="bottomRight" state="frozen"/>
      <selection pane="topRight" activeCell="C1" sqref="C1"/>
      <selection pane="bottomLeft" activeCell="A3" sqref="A3"/>
      <selection pane="bottomRight" activeCell="AE46" sqref="AE46"/>
    </sheetView>
  </sheetViews>
  <sheetFormatPr defaultColWidth="9.140625" defaultRowHeight="12.75" x14ac:dyDescent="0.2"/>
  <cols>
    <col min="1" max="1" width="2.85546875" style="1" customWidth="1"/>
    <col min="2" max="2" width="22.7109375" style="1" bestFit="1" customWidth="1"/>
    <col min="3" max="33" width="9.140625" style="1"/>
    <col min="34" max="34" width="10" style="1" bestFit="1" customWidth="1"/>
    <col min="35" max="37" width="9.140625" style="1"/>
    <col min="38" max="38" width="9.5703125" style="1" customWidth="1"/>
    <col min="39" max="40" width="9.7109375" style="1" customWidth="1"/>
    <col min="41" max="41" width="10.28515625" style="1" customWidth="1"/>
    <col min="42" max="43" width="9.140625" style="1"/>
    <col min="44" max="44" width="10.28515625" style="1" bestFit="1" customWidth="1"/>
    <col min="45" max="45" width="9.140625" style="1"/>
    <col min="46" max="46" width="13.5703125" style="1" bestFit="1" customWidth="1"/>
    <col min="47" max="16384" width="9.140625" style="1"/>
  </cols>
  <sheetData>
    <row r="1" spans="2:46" ht="7.5" customHeight="1" x14ac:dyDescent="0.2"/>
    <row r="2" spans="2:46" x14ac:dyDescent="0.2">
      <c r="C2" s="2" t="s">
        <v>13</v>
      </c>
      <c r="D2" s="2" t="s">
        <v>12</v>
      </c>
      <c r="E2" s="2" t="s">
        <v>7</v>
      </c>
      <c r="F2" s="2" t="s">
        <v>11</v>
      </c>
      <c r="G2" s="2" t="s">
        <v>10</v>
      </c>
      <c r="H2" s="2" t="s">
        <v>9</v>
      </c>
      <c r="I2" s="2" t="s">
        <v>8</v>
      </c>
      <c r="J2" s="2" t="s">
        <v>27</v>
      </c>
      <c r="K2" s="2" t="s">
        <v>88</v>
      </c>
      <c r="L2" s="2" t="s">
        <v>90</v>
      </c>
      <c r="M2" s="2" t="s">
        <v>91</v>
      </c>
      <c r="N2" s="2" t="s">
        <v>103</v>
      </c>
      <c r="O2" s="2"/>
      <c r="P2" s="2"/>
      <c r="Q2" s="2"/>
      <c r="R2" s="2"/>
      <c r="S2" s="2">
        <f t="shared" ref="S2:AD2" si="0">+T2-1</f>
        <v>2008</v>
      </c>
      <c r="T2" s="2">
        <f t="shared" si="0"/>
        <v>2009</v>
      </c>
      <c r="U2" s="2">
        <f t="shared" si="0"/>
        <v>2010</v>
      </c>
      <c r="V2" s="2">
        <f t="shared" si="0"/>
        <v>2011</v>
      </c>
      <c r="W2" s="2">
        <f t="shared" si="0"/>
        <v>2012</v>
      </c>
      <c r="X2" s="2">
        <f t="shared" si="0"/>
        <v>2013</v>
      </c>
      <c r="Y2" s="2">
        <f t="shared" si="0"/>
        <v>2014</v>
      </c>
      <c r="Z2" s="2">
        <f t="shared" si="0"/>
        <v>2015</v>
      </c>
      <c r="AA2" s="2">
        <f t="shared" si="0"/>
        <v>2016</v>
      </c>
      <c r="AB2" s="2">
        <f t="shared" si="0"/>
        <v>2017</v>
      </c>
      <c r="AC2" s="2">
        <f t="shared" si="0"/>
        <v>2018</v>
      </c>
      <c r="AD2" s="2">
        <f>+AE2-1</f>
        <v>2019</v>
      </c>
      <c r="AE2" s="2">
        <v>2020</v>
      </c>
      <c r="AF2" s="2">
        <v>2021</v>
      </c>
      <c r="AG2" s="2">
        <v>2022</v>
      </c>
      <c r="AH2" s="2">
        <f>AG2+1</f>
        <v>2023</v>
      </c>
      <c r="AI2" s="2">
        <f t="shared" ref="AI2:AO2" si="1">AH2+1</f>
        <v>2024</v>
      </c>
      <c r="AJ2" s="2">
        <f t="shared" si="1"/>
        <v>2025</v>
      </c>
      <c r="AK2" s="2">
        <f t="shared" si="1"/>
        <v>2026</v>
      </c>
      <c r="AL2" s="2">
        <f t="shared" si="1"/>
        <v>2027</v>
      </c>
      <c r="AM2" s="2">
        <f t="shared" si="1"/>
        <v>2028</v>
      </c>
      <c r="AN2" s="2">
        <f t="shared" si="1"/>
        <v>2029</v>
      </c>
      <c r="AO2" s="2">
        <f t="shared" si="1"/>
        <v>2030</v>
      </c>
    </row>
    <row r="3" spans="2:46" x14ac:dyDescent="0.2">
      <c r="B3" s="1" t="s">
        <v>39</v>
      </c>
      <c r="C3" s="2"/>
      <c r="D3" s="2"/>
      <c r="E3" s="2"/>
      <c r="F3" s="2"/>
      <c r="G3" s="2"/>
      <c r="H3" s="2"/>
      <c r="I3" s="2"/>
      <c r="J3" s="2"/>
      <c r="K3" s="2"/>
      <c r="L3" s="2"/>
      <c r="M3" s="2"/>
      <c r="N3" s="2"/>
      <c r="O3" s="2"/>
      <c r="P3" s="2"/>
      <c r="Q3" s="2"/>
      <c r="R3" s="2"/>
      <c r="S3" s="2"/>
      <c r="T3" s="2"/>
      <c r="U3" s="2"/>
      <c r="V3" s="2"/>
      <c r="W3" s="2"/>
      <c r="X3" s="2"/>
      <c r="Y3" s="2"/>
      <c r="Z3" s="2"/>
      <c r="AA3" s="2"/>
      <c r="AB3" s="2"/>
      <c r="AC3" s="2"/>
      <c r="AD3" s="2"/>
      <c r="AE3" s="3"/>
      <c r="AF3" s="3"/>
      <c r="AG3" s="3">
        <v>5798</v>
      </c>
      <c r="AH3" s="3">
        <v>7821</v>
      </c>
      <c r="AI3" s="3">
        <v>11406</v>
      </c>
      <c r="AJ3" s="2"/>
      <c r="AK3" s="2"/>
      <c r="AL3" s="2"/>
      <c r="AM3" s="2"/>
      <c r="AN3" s="2"/>
      <c r="AO3" s="2"/>
    </row>
    <row r="4" spans="2:46" x14ac:dyDescent="0.2">
      <c r="B4" s="1" t="s">
        <v>41</v>
      </c>
      <c r="C4" s="2"/>
      <c r="D4" s="2"/>
      <c r="E4" s="2"/>
      <c r="F4" s="2"/>
      <c r="G4" s="2"/>
      <c r="H4" s="2"/>
      <c r="I4" s="2"/>
      <c r="J4" s="2"/>
      <c r="K4" s="2"/>
      <c r="L4" s="2"/>
      <c r="M4" s="2"/>
      <c r="N4" s="2"/>
      <c r="O4" s="2"/>
      <c r="P4" s="2"/>
      <c r="Q4" s="2"/>
      <c r="R4" s="2"/>
      <c r="S4" s="2"/>
      <c r="T4" s="2"/>
      <c r="U4" s="2"/>
      <c r="V4" s="2"/>
      <c r="W4" s="2"/>
      <c r="X4" s="2"/>
      <c r="Y4" s="2"/>
      <c r="Z4" s="2"/>
      <c r="AA4" s="2"/>
      <c r="AB4" s="2"/>
      <c r="AC4" s="2"/>
      <c r="AD4" s="2"/>
      <c r="AE4" s="3"/>
      <c r="AF4" s="3"/>
      <c r="AG4" s="3">
        <v>1893</v>
      </c>
      <c r="AH4" s="3">
        <v>3071</v>
      </c>
      <c r="AI4" s="3">
        <v>4664</v>
      </c>
      <c r="AJ4" s="2"/>
      <c r="AK4" s="2"/>
      <c r="AL4" s="2"/>
      <c r="AM4" s="2"/>
      <c r="AN4" s="2"/>
      <c r="AO4" s="2"/>
    </row>
    <row r="5" spans="2:46" x14ac:dyDescent="0.2">
      <c r="B5" s="1" t="s">
        <v>40</v>
      </c>
      <c r="C5" s="2"/>
      <c r="D5" s="2"/>
      <c r="E5" s="2"/>
      <c r="F5" s="2"/>
      <c r="G5" s="2"/>
      <c r="H5" s="2"/>
      <c r="I5" s="2"/>
      <c r="J5" s="2"/>
      <c r="K5" s="2"/>
      <c r="L5" s="2"/>
      <c r="M5" s="2"/>
      <c r="N5" s="2"/>
      <c r="O5" s="2"/>
      <c r="P5" s="2"/>
      <c r="Q5" s="2"/>
      <c r="R5" s="2"/>
      <c r="S5" s="2"/>
      <c r="T5" s="2"/>
      <c r="U5" s="2"/>
      <c r="V5" s="2"/>
      <c r="W5" s="2"/>
      <c r="X5" s="2"/>
      <c r="Y5" s="2"/>
      <c r="Z5" s="2"/>
      <c r="AA5" s="2"/>
      <c r="AB5" s="2"/>
      <c r="AC5" s="2"/>
      <c r="AD5" s="2"/>
      <c r="AE5" s="3"/>
      <c r="AF5" s="3"/>
      <c r="AG5" s="3">
        <v>2575</v>
      </c>
      <c r="AH5" s="3">
        <v>3550</v>
      </c>
      <c r="AI5" s="3">
        <v>3818</v>
      </c>
      <c r="AJ5" s="2"/>
      <c r="AK5" s="2"/>
      <c r="AL5" s="2"/>
      <c r="AM5" s="2"/>
      <c r="AN5" s="2"/>
      <c r="AO5" s="2"/>
    </row>
    <row r="6" spans="2:46" x14ac:dyDescent="0.2">
      <c r="B6" s="1" t="s">
        <v>104</v>
      </c>
      <c r="C6" s="2"/>
      <c r="D6" s="2"/>
      <c r="E6" s="2"/>
      <c r="F6" s="2"/>
      <c r="G6" s="2"/>
      <c r="H6" s="2"/>
      <c r="I6" s="2"/>
      <c r="J6" s="2"/>
      <c r="K6" s="2"/>
      <c r="L6" s="2"/>
      <c r="M6" s="2"/>
      <c r="N6" s="2"/>
      <c r="O6" s="2"/>
      <c r="P6" s="2"/>
      <c r="Q6" s="2"/>
      <c r="R6" s="2"/>
      <c r="S6" s="2"/>
      <c r="T6" s="2"/>
      <c r="U6" s="2"/>
      <c r="V6" s="2"/>
      <c r="W6" s="2"/>
      <c r="X6" s="2"/>
      <c r="Y6" s="2"/>
      <c r="Z6" s="2"/>
      <c r="AA6" s="2"/>
      <c r="AB6" s="2"/>
      <c r="AC6" s="2"/>
      <c r="AD6" s="2"/>
      <c r="AE6" s="3"/>
      <c r="AF6" s="3"/>
      <c r="AG6" s="3">
        <v>514</v>
      </c>
      <c r="AH6" s="3">
        <v>665</v>
      </c>
      <c r="AI6" s="3">
        <v>889</v>
      </c>
      <c r="AJ6" s="2"/>
      <c r="AK6" s="2"/>
      <c r="AL6" s="2"/>
      <c r="AM6" s="2"/>
      <c r="AN6" s="2"/>
      <c r="AO6" s="2"/>
    </row>
    <row r="7" spans="2:46" x14ac:dyDescent="0.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spans="2:46" x14ac:dyDescent="0.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spans="2:46" x14ac:dyDescent="0.2">
      <c r="B9" s="1" t="s">
        <v>84</v>
      </c>
      <c r="C9" s="3">
        <v>1997</v>
      </c>
      <c r="D9" s="3">
        <v>4329</v>
      </c>
      <c r="E9" s="3">
        <v>1465</v>
      </c>
      <c r="F9" s="3">
        <v>1661</v>
      </c>
      <c r="G9" s="3">
        <v>1676</v>
      </c>
      <c r="H9" s="3">
        <v>1936</v>
      </c>
      <c r="I9" s="3">
        <v>2128</v>
      </c>
      <c r="J9" s="3">
        <v>2461</v>
      </c>
      <c r="K9" s="3">
        <v>2496</v>
      </c>
      <c r="L9" s="3">
        <v>2970</v>
      </c>
      <c r="M9" s="3">
        <v>3139</v>
      </c>
      <c r="N9" s="3">
        <v>3554</v>
      </c>
      <c r="AE9" s="3">
        <v>2560</v>
      </c>
      <c r="AF9" s="3">
        <v>4635</v>
      </c>
      <c r="AG9" s="3">
        <v>5808</v>
      </c>
      <c r="AH9" s="3">
        <v>8201</v>
      </c>
      <c r="AI9" s="3">
        <f>+SUM(K9:N9)</f>
        <v>12159</v>
      </c>
      <c r="AJ9" s="3">
        <f>AI9*1.33</f>
        <v>16171.470000000001</v>
      </c>
      <c r="AK9" s="3">
        <f>AJ9*1.3</f>
        <v>21022.911000000004</v>
      </c>
      <c r="AL9" s="3">
        <f>AK9*1.27</f>
        <v>26699.096970000006</v>
      </c>
      <c r="AM9" s="3">
        <f>AL9*1.24</f>
        <v>33106.880242800005</v>
      </c>
      <c r="AN9" s="3">
        <f>AM9*1.21</f>
        <v>40059.325093788008</v>
      </c>
      <c r="AO9" s="3">
        <f t="shared" ref="AO9:AO10" si="2">AN9*1.2</f>
        <v>48071.190112545606</v>
      </c>
    </row>
    <row r="10" spans="2:46" x14ac:dyDescent="0.2">
      <c r="B10" s="1" t="s">
        <v>85</v>
      </c>
      <c r="C10" s="3">
        <v>251</v>
      </c>
      <c r="D10" s="3">
        <v>516</v>
      </c>
      <c r="E10" s="3">
        <v>1225</v>
      </c>
      <c r="F10" s="3">
        <v>326</v>
      </c>
      <c r="G10" s="3">
        <v>1510</v>
      </c>
      <c r="H10" s="3">
        <v>1649</v>
      </c>
      <c r="I10" s="3">
        <v>1799</v>
      </c>
      <c r="J10" s="3">
        <v>1948</v>
      </c>
      <c r="K10" s="3">
        <v>1837</v>
      </c>
      <c r="L10" s="3">
        <v>2103</v>
      </c>
      <c r="M10" s="3">
        <v>2173</v>
      </c>
      <c r="N10" s="3">
        <v>2505</v>
      </c>
      <c r="AE10" s="3">
        <v>1414</v>
      </c>
      <c r="AF10" s="3">
        <v>2434</v>
      </c>
      <c r="AG10" s="3">
        <v>4729</v>
      </c>
      <c r="AH10" s="3">
        <v>6272</v>
      </c>
      <c r="AI10" s="3">
        <f>+SUM(K10:N10)</f>
        <v>8618</v>
      </c>
      <c r="AJ10" s="3">
        <f t="shared" ref="AJ10" si="3">AI10*1.25</f>
        <v>10772.5</v>
      </c>
      <c r="AK10" s="3">
        <f>AJ10*1.225</f>
        <v>13196.312500000002</v>
      </c>
      <c r="AL10" s="3">
        <f t="shared" ref="AL10" si="4">AK10*1.225</f>
        <v>16165.482812500004</v>
      </c>
      <c r="AM10" s="3">
        <f t="shared" ref="AM10:AN10" si="5">AL10*1.2</f>
        <v>19398.579375000005</v>
      </c>
      <c r="AN10" s="3">
        <f t="shared" si="5"/>
        <v>23278.295250000006</v>
      </c>
      <c r="AO10" s="3">
        <f t="shared" si="2"/>
        <v>27933.954300000009</v>
      </c>
    </row>
    <row r="11" spans="2:46" x14ac:dyDescent="0.2">
      <c r="C11" s="3"/>
      <c r="D11" s="3"/>
      <c r="E11" s="3"/>
      <c r="F11" s="3"/>
      <c r="G11" s="3"/>
      <c r="H11" s="3"/>
      <c r="I11" s="3"/>
      <c r="J11" s="3"/>
      <c r="K11" s="3"/>
      <c r="L11" s="3"/>
      <c r="M11" s="3"/>
      <c r="N11" s="3"/>
      <c r="AE11" s="3"/>
      <c r="AF11" s="3"/>
      <c r="AG11" s="3"/>
      <c r="AH11" s="3"/>
      <c r="AI11" s="3"/>
      <c r="AJ11" s="3"/>
      <c r="AK11" s="3"/>
      <c r="AL11" s="3"/>
      <c r="AM11" s="3"/>
      <c r="AN11" s="3"/>
      <c r="AO11" s="3"/>
    </row>
    <row r="12" spans="2:46" x14ac:dyDescent="0.2">
      <c r="B12" s="2" t="s">
        <v>42</v>
      </c>
      <c r="C12" s="5">
        <f t="shared" ref="C12:J12" si="6">C9+C10</f>
        <v>2248</v>
      </c>
      <c r="D12" s="5">
        <f t="shared" si="6"/>
        <v>4845</v>
      </c>
      <c r="E12" s="5">
        <f t="shared" si="6"/>
        <v>2690</v>
      </c>
      <c r="F12" s="5">
        <f t="shared" si="6"/>
        <v>1987</v>
      </c>
      <c r="G12" s="5">
        <f t="shared" si="6"/>
        <v>3186</v>
      </c>
      <c r="H12" s="5">
        <f t="shared" si="6"/>
        <v>3585</v>
      </c>
      <c r="I12" s="5">
        <f t="shared" si="6"/>
        <v>3927</v>
      </c>
      <c r="J12" s="5">
        <f t="shared" si="6"/>
        <v>4409</v>
      </c>
      <c r="K12" s="5">
        <f t="shared" ref="K12:L12" si="7">K9+K10</f>
        <v>4333</v>
      </c>
      <c r="L12" s="5">
        <f t="shared" si="7"/>
        <v>5073</v>
      </c>
      <c r="M12" s="5">
        <f t="shared" ref="M12:N12" si="8">M9+M10</f>
        <v>5312</v>
      </c>
      <c r="N12" s="5">
        <f t="shared" si="8"/>
        <v>6059</v>
      </c>
      <c r="O12" s="2"/>
      <c r="S12" s="15">
        <v>137</v>
      </c>
      <c r="T12" s="15">
        <v>172.8</v>
      </c>
      <c r="U12" s="15">
        <v>216.7</v>
      </c>
      <c r="V12" s="15">
        <v>298.89999999999998</v>
      </c>
      <c r="W12" s="15">
        <v>373.6</v>
      </c>
      <c r="X12" s="15">
        <v>472.6</v>
      </c>
      <c r="Y12" s="15">
        <v>556.5</v>
      </c>
      <c r="Z12" s="15">
        <v>651.79999999999995</v>
      </c>
      <c r="AA12" s="15">
        <v>844.4</v>
      </c>
      <c r="AB12" s="15">
        <v>1216.5</v>
      </c>
      <c r="AC12" s="15">
        <v>1439.7</v>
      </c>
      <c r="AD12" s="15">
        <v>2296.3000000000002</v>
      </c>
      <c r="AE12" s="5">
        <f t="shared" ref="AE12" si="9">AE9+AE10</f>
        <v>3974</v>
      </c>
      <c r="AF12" s="5">
        <f t="shared" ref="AF12:AO12" si="10">AF9+AF10</f>
        <v>7069</v>
      </c>
      <c r="AG12" s="5">
        <f t="shared" si="10"/>
        <v>10537</v>
      </c>
      <c r="AH12" s="5">
        <f t="shared" si="10"/>
        <v>14473</v>
      </c>
      <c r="AI12" s="5">
        <f t="shared" si="10"/>
        <v>20777</v>
      </c>
      <c r="AJ12" s="5">
        <f t="shared" si="10"/>
        <v>26943.97</v>
      </c>
      <c r="AK12" s="5">
        <f t="shared" si="10"/>
        <v>34219.223500000007</v>
      </c>
      <c r="AL12" s="5">
        <f t="shared" si="10"/>
        <v>42864.579782500012</v>
      </c>
      <c r="AM12" s="5">
        <f t="shared" si="10"/>
        <v>52505.459617800007</v>
      </c>
      <c r="AN12" s="5">
        <f t="shared" si="10"/>
        <v>63337.620343788018</v>
      </c>
      <c r="AO12" s="5">
        <f t="shared" si="10"/>
        <v>76005.144412545618</v>
      </c>
    </row>
    <row r="13" spans="2:46" x14ac:dyDescent="0.2">
      <c r="B13" s="1" t="s">
        <v>14</v>
      </c>
      <c r="C13" s="3">
        <v>1175</v>
      </c>
      <c r="D13" s="3">
        <v>2488</v>
      </c>
      <c r="E13" s="3">
        <v>1342</v>
      </c>
      <c r="F13" s="3">
        <v>1544</v>
      </c>
      <c r="G13" s="3">
        <v>1501</v>
      </c>
      <c r="H13" s="3">
        <v>3196</v>
      </c>
      <c r="I13" s="3">
        <v>1765</v>
      </c>
      <c r="J13" s="3">
        <v>2359</v>
      </c>
      <c r="K13" s="3">
        <v>2309</v>
      </c>
      <c r="L13" s="3">
        <v>2708</v>
      </c>
      <c r="M13" s="3">
        <v>2873</v>
      </c>
      <c r="N13" s="3">
        <v>3310</v>
      </c>
      <c r="S13" s="16">
        <v>34.799999999999997</v>
      </c>
      <c r="T13" s="16">
        <v>48.1</v>
      </c>
      <c r="U13" s="16">
        <v>62.4</v>
      </c>
      <c r="V13" s="16">
        <v>95.4</v>
      </c>
      <c r="W13" s="16">
        <v>126.7</v>
      </c>
      <c r="X13" s="16">
        <v>171</v>
      </c>
      <c r="Y13" s="16">
        <v>212.6</v>
      </c>
      <c r="Z13" s="16">
        <v>291.39999999999998</v>
      </c>
      <c r="AA13" s="16">
        <v>307.5</v>
      </c>
      <c r="AB13" s="16">
        <v>496.9</v>
      </c>
      <c r="AC13" s="16">
        <v>742.6</v>
      </c>
      <c r="AD13" s="16">
        <v>1194.2</v>
      </c>
      <c r="AE13" s="3">
        <v>2265</v>
      </c>
      <c r="AF13" s="3">
        <v>4064</v>
      </c>
      <c r="AG13" s="3">
        <v>5374</v>
      </c>
      <c r="AH13" s="3">
        <v>7267</v>
      </c>
      <c r="AI13" s="3">
        <f>+SUM(K13:N13)</f>
        <v>11200</v>
      </c>
      <c r="AJ13" s="3">
        <f>AJ12*0.49</f>
        <v>13202.5453</v>
      </c>
      <c r="AK13" s="3">
        <f>AK12*0.47</f>
        <v>16083.035045000002</v>
      </c>
      <c r="AL13" s="3">
        <f t="shared" ref="AL13" si="11">AL12*0.47</f>
        <v>20146.352497775006</v>
      </c>
      <c r="AM13" s="3">
        <f>AM12*0.45</f>
        <v>23627.456828010003</v>
      </c>
      <c r="AN13" s="3">
        <f>AN12*0.45</f>
        <v>28501.929154704609</v>
      </c>
      <c r="AO13" s="3">
        <f t="shared" ref="AO13" si="12">AO12*0.45</f>
        <v>34202.314985645527</v>
      </c>
    </row>
    <row r="14" spans="2:46" x14ac:dyDescent="0.2">
      <c r="B14" s="2" t="s">
        <v>15</v>
      </c>
      <c r="C14" s="5">
        <f t="shared" ref="C14:J14" si="13">C12-C13</f>
        <v>1073</v>
      </c>
      <c r="D14" s="5">
        <f t="shared" si="13"/>
        <v>2357</v>
      </c>
      <c r="E14" s="5">
        <f t="shared" si="13"/>
        <v>1348</v>
      </c>
      <c r="F14" s="5">
        <f t="shared" si="13"/>
        <v>443</v>
      </c>
      <c r="G14" s="5">
        <f t="shared" si="13"/>
        <v>1685</v>
      </c>
      <c r="H14" s="5">
        <f t="shared" si="13"/>
        <v>389</v>
      </c>
      <c r="I14" s="5">
        <f>I12-I13</f>
        <v>2162</v>
      </c>
      <c r="J14" s="5">
        <f t="shared" si="13"/>
        <v>2050</v>
      </c>
      <c r="K14" s="5">
        <f t="shared" ref="K14:L14" si="14">K12-K13</f>
        <v>2024</v>
      </c>
      <c r="L14" s="5">
        <f t="shared" si="14"/>
        <v>2365</v>
      </c>
      <c r="M14" s="5">
        <f t="shared" ref="M14:N14" si="15">M12-M13</f>
        <v>2439</v>
      </c>
      <c r="N14" s="5">
        <f t="shared" si="15"/>
        <v>2749</v>
      </c>
      <c r="O14" s="2"/>
      <c r="P14" s="2"/>
      <c r="Q14" s="2"/>
      <c r="R14" s="2"/>
      <c r="S14" s="5">
        <f t="shared" ref="S14:AE14" si="16">S12-S13</f>
        <v>102.2</v>
      </c>
      <c r="T14" s="5">
        <f t="shared" si="16"/>
        <v>124.70000000000002</v>
      </c>
      <c r="U14" s="5">
        <f t="shared" si="16"/>
        <v>154.29999999999998</v>
      </c>
      <c r="V14" s="5">
        <f t="shared" si="16"/>
        <v>203.49999999999997</v>
      </c>
      <c r="W14" s="5">
        <f t="shared" si="16"/>
        <v>246.90000000000003</v>
      </c>
      <c r="X14" s="5">
        <f t="shared" si="16"/>
        <v>301.60000000000002</v>
      </c>
      <c r="Y14" s="5">
        <f t="shared" si="16"/>
        <v>343.9</v>
      </c>
      <c r="Z14" s="5">
        <f t="shared" si="16"/>
        <v>360.4</v>
      </c>
      <c r="AA14" s="5">
        <f t="shared" si="16"/>
        <v>536.9</v>
      </c>
      <c r="AB14" s="5">
        <f t="shared" si="16"/>
        <v>719.6</v>
      </c>
      <c r="AC14" s="5">
        <f t="shared" si="16"/>
        <v>697.1</v>
      </c>
      <c r="AD14" s="5">
        <f t="shared" si="16"/>
        <v>1102.1000000000001</v>
      </c>
      <c r="AE14" s="5">
        <f t="shared" ref="AE14" si="17">AE12-AE13</f>
        <v>1709</v>
      </c>
      <c r="AF14" s="5">
        <f t="shared" ref="AF14:AO14" si="18">AF12-AF13</f>
        <v>3005</v>
      </c>
      <c r="AG14" s="5">
        <f t="shared" si="18"/>
        <v>5163</v>
      </c>
      <c r="AH14" s="5">
        <f t="shared" si="18"/>
        <v>7206</v>
      </c>
      <c r="AI14" s="5">
        <f t="shared" si="18"/>
        <v>9577</v>
      </c>
      <c r="AJ14" s="5">
        <f t="shared" si="18"/>
        <v>13741.424700000001</v>
      </c>
      <c r="AK14" s="5">
        <f t="shared" si="18"/>
        <v>18136.188455000003</v>
      </c>
      <c r="AL14" s="5">
        <f t="shared" si="18"/>
        <v>22718.227284725006</v>
      </c>
      <c r="AM14" s="5">
        <f t="shared" si="18"/>
        <v>28878.002789790004</v>
      </c>
      <c r="AN14" s="5">
        <f t="shared" si="18"/>
        <v>34835.691189083409</v>
      </c>
      <c r="AO14" s="5">
        <f t="shared" si="18"/>
        <v>41802.829426900091</v>
      </c>
      <c r="AT14" s="6"/>
    </row>
    <row r="15" spans="2:46" x14ac:dyDescent="0.2">
      <c r="B15" s="1" t="s">
        <v>16</v>
      </c>
      <c r="C15" s="3">
        <v>234</v>
      </c>
      <c r="D15" s="3">
        <v>496</v>
      </c>
      <c r="E15" s="3">
        <v>278</v>
      </c>
      <c r="F15" s="3">
        <v>325</v>
      </c>
      <c r="G15" s="3">
        <v>381</v>
      </c>
      <c r="H15" s="3">
        <v>749</v>
      </c>
      <c r="I15" s="3">
        <v>396</v>
      </c>
      <c r="J15" s="3">
        <v>686</v>
      </c>
      <c r="K15" s="3">
        <v>458</v>
      </c>
      <c r="L15" s="3">
        <v>460</v>
      </c>
      <c r="M15" s="3">
        <v>504</v>
      </c>
      <c r="N15" s="3">
        <v>512</v>
      </c>
      <c r="S15" s="3"/>
      <c r="T15" s="3"/>
      <c r="U15" s="3"/>
      <c r="V15" s="3"/>
      <c r="W15" s="3"/>
      <c r="X15" s="3"/>
      <c r="Y15" s="3"/>
      <c r="Z15" s="3"/>
      <c r="AA15" s="3"/>
      <c r="AB15" s="3"/>
      <c r="AC15" s="3"/>
      <c r="AD15" s="3"/>
      <c r="AE15" s="3">
        <v>353</v>
      </c>
      <c r="AF15" s="3">
        <v>590</v>
      </c>
      <c r="AG15" s="3">
        <v>1099</v>
      </c>
      <c r="AH15" s="3">
        <v>1831</v>
      </c>
      <c r="AI15" s="3">
        <v>1934</v>
      </c>
      <c r="AJ15" s="3">
        <f>AJ12*0.11</f>
        <v>2963.8367000000003</v>
      </c>
      <c r="AK15" s="3">
        <f>AK12*0.105</f>
        <v>3593.0184675000005</v>
      </c>
      <c r="AL15" s="3">
        <f>AL12*0.1</f>
        <v>4286.4579782500014</v>
      </c>
      <c r="AM15" s="3">
        <f t="shared" ref="AM15:AO15" si="19">AM12*0.1</f>
        <v>5250.5459617800007</v>
      </c>
      <c r="AN15" s="3">
        <f t="shared" si="19"/>
        <v>6333.7620343788021</v>
      </c>
      <c r="AO15" s="3">
        <f t="shared" si="19"/>
        <v>7600.5144412545624</v>
      </c>
    </row>
    <row r="16" spans="2:46" x14ac:dyDescent="0.2">
      <c r="B16" s="1" t="s">
        <v>17</v>
      </c>
      <c r="C16" s="3">
        <v>286</v>
      </c>
      <c r="D16" s="3">
        <v>583</v>
      </c>
      <c r="E16" s="3">
        <v>333</v>
      </c>
      <c r="F16" s="3">
        <v>380</v>
      </c>
      <c r="G16" s="3">
        <v>383</v>
      </c>
      <c r="H16" s="3">
        <v>766</v>
      </c>
      <c r="I16" s="3">
        <v>441</v>
      </c>
      <c r="J16" s="3">
        <v>529</v>
      </c>
      <c r="K16" s="3">
        <v>478</v>
      </c>
      <c r="L16" s="3">
        <v>511</v>
      </c>
      <c r="M16" s="3">
        <v>566</v>
      </c>
      <c r="N16" s="3">
        <v>636</v>
      </c>
      <c r="S16" s="3"/>
      <c r="T16" s="3"/>
      <c r="U16" s="3"/>
      <c r="V16" s="3"/>
      <c r="W16" s="3"/>
      <c r="X16" s="3"/>
      <c r="Y16" s="3"/>
      <c r="Z16" s="3"/>
      <c r="AA16" s="3"/>
      <c r="AB16" s="3"/>
      <c r="AC16" s="3"/>
      <c r="AD16" s="3"/>
      <c r="AE16" s="3">
        <v>768</v>
      </c>
      <c r="AF16" s="3">
        <v>1074</v>
      </c>
      <c r="AG16" s="3">
        <v>1296</v>
      </c>
      <c r="AH16" s="3">
        <v>1736</v>
      </c>
      <c r="AI16" s="3">
        <v>2191</v>
      </c>
      <c r="AJ16" s="3">
        <f>AJ12*0.113</f>
        <v>3044.6686100000002</v>
      </c>
      <c r="AK16" s="3">
        <f>AK12*0.11</f>
        <v>3764.1145850000007</v>
      </c>
      <c r="AL16" s="3">
        <f t="shared" ref="AL16" si="20">AL12*0.11</f>
        <v>4715.1037760750014</v>
      </c>
      <c r="AM16" s="3">
        <f>AM12*0.1</f>
        <v>5250.5459617800007</v>
      </c>
      <c r="AN16" s="3">
        <f t="shared" ref="AN16:AO16" si="21">AN12*0.1</f>
        <v>6333.7620343788021</v>
      </c>
      <c r="AO16" s="3">
        <f t="shared" si="21"/>
        <v>7600.5144412545624</v>
      </c>
      <c r="AT16" s="6"/>
    </row>
    <row r="17" spans="2:96" x14ac:dyDescent="0.2">
      <c r="B17" s="1" t="s">
        <v>18</v>
      </c>
      <c r="C17" s="3">
        <v>255</v>
      </c>
      <c r="D17" s="3">
        <v>557</v>
      </c>
      <c r="E17" s="3">
        <v>288</v>
      </c>
      <c r="F17" s="3">
        <v>228</v>
      </c>
      <c r="G17" s="3">
        <v>252</v>
      </c>
      <c r="H17" s="3">
        <v>474</v>
      </c>
      <c r="I17" s="3">
        <v>277</v>
      </c>
      <c r="J17" s="3">
        <v>299</v>
      </c>
      <c r="K17" s="3">
        <v>374</v>
      </c>
      <c r="L17" s="3">
        <v>450</v>
      </c>
      <c r="M17" s="3">
        <v>507</v>
      </c>
      <c r="N17" s="3">
        <v>527</v>
      </c>
      <c r="S17" s="3"/>
      <c r="T17" s="3"/>
      <c r="U17" s="3"/>
      <c r="V17" s="3"/>
      <c r="W17" s="3"/>
      <c r="X17" s="3"/>
      <c r="Y17" s="3"/>
      <c r="Z17" s="3"/>
      <c r="AA17" s="3"/>
      <c r="AB17" s="3"/>
      <c r="AC17" s="3"/>
      <c r="AD17" s="3"/>
      <c r="AE17" s="3">
        <v>133</v>
      </c>
      <c r="AF17" s="3">
        <v>435</v>
      </c>
      <c r="AG17" s="3">
        <v>1073</v>
      </c>
      <c r="AH17" s="3">
        <v>1050</v>
      </c>
      <c r="AI17" s="3">
        <v>1858</v>
      </c>
      <c r="AJ17" s="3">
        <f>AJ12*0.06</f>
        <v>1616.6382000000001</v>
      </c>
      <c r="AK17" s="3">
        <f>AK12*0.05</f>
        <v>1710.9611750000004</v>
      </c>
      <c r="AL17" s="3">
        <f t="shared" ref="AL17:AO17" si="22">AL12*0.05</f>
        <v>2143.2289891250007</v>
      </c>
      <c r="AM17" s="3">
        <f t="shared" si="22"/>
        <v>2625.2729808900003</v>
      </c>
      <c r="AN17" s="3">
        <f t="shared" si="22"/>
        <v>3166.8810171894011</v>
      </c>
      <c r="AO17" s="3">
        <f t="shared" si="22"/>
        <v>3800.2572206272812</v>
      </c>
    </row>
    <row r="18" spans="2:96" x14ac:dyDescent="0.2">
      <c r="B18" s="1" t="s">
        <v>19</v>
      </c>
      <c r="C18" s="3">
        <v>159</v>
      </c>
      <c r="D18" s="3">
        <v>332</v>
      </c>
      <c r="E18" s="3">
        <v>153</v>
      </c>
      <c r="F18" s="3">
        <v>176</v>
      </c>
      <c r="G18" s="3">
        <v>180</v>
      </c>
      <c r="H18" s="3">
        <v>369</v>
      </c>
      <c r="I18" s="3">
        <v>196</v>
      </c>
      <c r="J18" s="3">
        <v>201</v>
      </c>
      <c r="K18" s="3">
        <v>186</v>
      </c>
      <c r="L18" s="3">
        <v>218</v>
      </c>
      <c r="M18" s="3">
        <v>305</v>
      </c>
      <c r="N18" s="3">
        <v>254</v>
      </c>
      <c r="S18" s="3"/>
      <c r="T18" s="3"/>
      <c r="U18" s="3"/>
      <c r="V18" s="3"/>
      <c r="W18" s="3"/>
      <c r="X18" s="3"/>
      <c r="Y18" s="3"/>
      <c r="Z18" s="3"/>
      <c r="AA18" s="3"/>
      <c r="AB18" s="3"/>
      <c r="AC18" s="3"/>
      <c r="AD18" s="3"/>
      <c r="AE18" s="3">
        <v>327</v>
      </c>
      <c r="AF18" s="3">
        <v>465</v>
      </c>
      <c r="AG18" s="3">
        <v>661</v>
      </c>
      <c r="AH18" s="3">
        <v>766</v>
      </c>
      <c r="AI18" s="3">
        <v>963</v>
      </c>
      <c r="AJ18" s="3">
        <f>AJ12*0.049</f>
        <v>1320.2545300000002</v>
      </c>
      <c r="AK18" s="3">
        <f>AK12*0.045</f>
        <v>1539.8650575000004</v>
      </c>
      <c r="AL18" s="3">
        <f t="shared" ref="AL18:AO18" si="23">AL12*0.045</f>
        <v>1928.9060902125004</v>
      </c>
      <c r="AM18" s="3">
        <f t="shared" si="23"/>
        <v>2362.7456828010004</v>
      </c>
      <c r="AN18" s="3">
        <f t="shared" si="23"/>
        <v>2850.1929154704608</v>
      </c>
      <c r="AO18" s="3">
        <f t="shared" si="23"/>
        <v>3420.2314985645526</v>
      </c>
    </row>
    <row r="19" spans="2:96" x14ac:dyDescent="0.2">
      <c r="B19" s="1" t="s">
        <v>20</v>
      </c>
      <c r="C19" s="3">
        <f t="shared" ref="C19:J19" si="24">C15+C16+C17+C18</f>
        <v>934</v>
      </c>
      <c r="D19" s="3">
        <f t="shared" si="24"/>
        <v>1968</v>
      </c>
      <c r="E19" s="3">
        <f t="shared" si="24"/>
        <v>1052</v>
      </c>
      <c r="F19" s="3">
        <f t="shared" si="24"/>
        <v>1109</v>
      </c>
      <c r="G19" s="3">
        <f t="shared" si="24"/>
        <v>1196</v>
      </c>
      <c r="H19" s="3">
        <f t="shared" si="24"/>
        <v>2358</v>
      </c>
      <c r="I19" s="3">
        <f>I15+I16+I17+I18</f>
        <v>1310</v>
      </c>
      <c r="J19" s="3">
        <f t="shared" si="24"/>
        <v>1715</v>
      </c>
      <c r="K19" s="3">
        <f t="shared" ref="K19:L19" si="25">K15+K16+K17+K18</f>
        <v>1496</v>
      </c>
      <c r="L19" s="3">
        <f t="shared" si="25"/>
        <v>1639</v>
      </c>
      <c r="M19" s="3">
        <f t="shared" ref="M19:N19" si="26">M15+M16+M17+M18</f>
        <v>1882</v>
      </c>
      <c r="N19" s="3">
        <f t="shared" si="26"/>
        <v>1929</v>
      </c>
      <c r="S19" s="16">
        <v>64.7</v>
      </c>
      <c r="T19" s="16">
        <v>68.7</v>
      </c>
      <c r="U19" s="16">
        <v>79.7</v>
      </c>
      <c r="V19" s="16">
        <v>103.8</v>
      </c>
      <c r="W19" s="16">
        <v>117.2</v>
      </c>
      <c r="X19" s="16">
        <v>148.1</v>
      </c>
      <c r="Y19" s="16">
        <v>223.5</v>
      </c>
      <c r="Z19" s="16">
        <v>221.2</v>
      </c>
      <c r="AA19" s="16">
        <v>355.8</v>
      </c>
      <c r="AB19" s="16">
        <v>663.3</v>
      </c>
      <c r="AC19" s="16">
        <v>766.5</v>
      </c>
      <c r="AD19" s="16">
        <v>1255.3</v>
      </c>
      <c r="AE19" s="3">
        <f t="shared" ref="AE19" si="27">AE15+AE16+AE17+AE18</f>
        <v>1581</v>
      </c>
      <c r="AF19" s="3">
        <f t="shared" ref="AF19:AO19" si="28">AF15+AF16+AF17+AF18</f>
        <v>2564</v>
      </c>
      <c r="AG19" s="3">
        <f t="shared" si="28"/>
        <v>4129</v>
      </c>
      <c r="AH19" s="3">
        <f t="shared" si="28"/>
        <v>5383</v>
      </c>
      <c r="AI19" s="3">
        <f t="shared" si="28"/>
        <v>6946</v>
      </c>
      <c r="AJ19" s="3">
        <f t="shared" si="28"/>
        <v>8945.39804</v>
      </c>
      <c r="AK19" s="3">
        <f t="shared" si="28"/>
        <v>10607.959285000003</v>
      </c>
      <c r="AL19" s="3">
        <f t="shared" si="28"/>
        <v>13073.696833662503</v>
      </c>
      <c r="AM19" s="3">
        <f t="shared" si="28"/>
        <v>15489.110587251002</v>
      </c>
      <c r="AN19" s="3">
        <f t="shared" si="28"/>
        <v>18684.598001417464</v>
      </c>
      <c r="AO19" s="3">
        <f t="shared" si="28"/>
        <v>22421.517601700958</v>
      </c>
    </row>
    <row r="20" spans="2:96" x14ac:dyDescent="0.2">
      <c r="B20" s="2" t="s">
        <v>21</v>
      </c>
      <c r="C20" s="5">
        <f t="shared" ref="C20:J20" si="29">C14-C19</f>
        <v>139</v>
      </c>
      <c r="D20" s="5">
        <f t="shared" si="29"/>
        <v>389</v>
      </c>
      <c r="E20" s="5">
        <f t="shared" si="29"/>
        <v>296</v>
      </c>
      <c r="F20" s="5">
        <f t="shared" si="29"/>
        <v>-666</v>
      </c>
      <c r="G20" s="5">
        <f t="shared" si="29"/>
        <v>489</v>
      </c>
      <c r="H20" s="5">
        <f t="shared" si="29"/>
        <v>-1969</v>
      </c>
      <c r="I20" s="5">
        <f>I14-I19</f>
        <v>852</v>
      </c>
      <c r="J20" s="5">
        <f t="shared" si="29"/>
        <v>335</v>
      </c>
      <c r="K20" s="5">
        <f t="shared" ref="K20:L20" si="30">K14-K19</f>
        <v>528</v>
      </c>
      <c r="L20" s="5">
        <f t="shared" si="30"/>
        <v>726</v>
      </c>
      <c r="M20" s="5">
        <f t="shared" ref="M20:N20" si="31">M14-M19</f>
        <v>557</v>
      </c>
      <c r="N20" s="5">
        <f t="shared" si="31"/>
        <v>820</v>
      </c>
      <c r="O20" s="2"/>
      <c r="P20" s="2"/>
      <c r="Q20" s="2"/>
      <c r="R20" s="2"/>
      <c r="S20" s="5">
        <f t="shared" ref="S20:AC20" si="32">+S14-S19</f>
        <v>37.5</v>
      </c>
      <c r="T20" s="5">
        <f t="shared" si="32"/>
        <v>56.000000000000014</v>
      </c>
      <c r="U20" s="5">
        <f t="shared" si="32"/>
        <v>74.59999999999998</v>
      </c>
      <c r="V20" s="5">
        <f t="shared" si="32"/>
        <v>99.699999999999974</v>
      </c>
      <c r="W20" s="5">
        <f t="shared" si="32"/>
        <v>129.70000000000005</v>
      </c>
      <c r="X20" s="5">
        <f t="shared" si="32"/>
        <v>153.50000000000003</v>
      </c>
      <c r="Y20" s="5">
        <f t="shared" si="32"/>
        <v>120.39999999999998</v>
      </c>
      <c r="Z20" s="5">
        <f t="shared" si="32"/>
        <v>139.19999999999999</v>
      </c>
      <c r="AA20" s="5">
        <f t="shared" si="32"/>
        <v>181.09999999999997</v>
      </c>
      <c r="AB20" s="5">
        <f t="shared" si="32"/>
        <v>56.300000000000068</v>
      </c>
      <c r="AC20" s="5">
        <f t="shared" si="32"/>
        <v>-69.399999999999977</v>
      </c>
      <c r="AD20" s="5">
        <f>+AD14-AD19</f>
        <v>-153.19999999999982</v>
      </c>
      <c r="AE20" s="5">
        <f t="shared" ref="AE20" si="33">AE14-AE19</f>
        <v>128</v>
      </c>
      <c r="AF20" s="5">
        <f t="shared" ref="AF20:AO20" si="34">AF14-AF19</f>
        <v>441</v>
      </c>
      <c r="AG20" s="5">
        <f t="shared" si="34"/>
        <v>1034</v>
      </c>
      <c r="AH20" s="5">
        <f t="shared" si="34"/>
        <v>1823</v>
      </c>
      <c r="AI20" s="5">
        <f t="shared" si="34"/>
        <v>2631</v>
      </c>
      <c r="AJ20" s="5">
        <f t="shared" si="34"/>
        <v>4796.0266600000014</v>
      </c>
      <c r="AK20" s="5">
        <f t="shared" si="34"/>
        <v>7528.2291700000005</v>
      </c>
      <c r="AL20" s="5">
        <f t="shared" si="34"/>
        <v>9644.5304510625028</v>
      </c>
      <c r="AM20" s="5">
        <f t="shared" si="34"/>
        <v>13388.892202539002</v>
      </c>
      <c r="AN20" s="5">
        <f t="shared" si="34"/>
        <v>16151.093187665945</v>
      </c>
      <c r="AO20" s="5">
        <f t="shared" si="34"/>
        <v>19381.311825199133</v>
      </c>
    </row>
    <row r="21" spans="2:96" x14ac:dyDescent="0.2">
      <c r="B21" s="1" t="s">
        <v>22</v>
      </c>
      <c r="C21" s="3">
        <f>31-56</f>
        <v>-25</v>
      </c>
      <c r="D21" s="3">
        <f>77-129</f>
        <v>-52</v>
      </c>
      <c r="E21" s="3">
        <f>65-92</f>
        <v>-27</v>
      </c>
      <c r="F21" s="3">
        <f>123-100</f>
        <v>23</v>
      </c>
      <c r="G21" s="3">
        <f>161-94</f>
        <v>67</v>
      </c>
      <c r="H21" s="3">
        <f>349-186</f>
        <v>163</v>
      </c>
      <c r="I21" s="3">
        <f>196-111</f>
        <v>85</v>
      </c>
      <c r="J21" s="3">
        <f>178-81</f>
        <v>97</v>
      </c>
      <c r="K21" s="3">
        <f>25-38</f>
        <v>-13</v>
      </c>
      <c r="L21" s="3">
        <f>39-39</f>
        <v>0</v>
      </c>
      <c r="M21" s="3">
        <v>0</v>
      </c>
      <c r="N21" s="3">
        <f>41-48</f>
        <v>-7</v>
      </c>
      <c r="S21" s="16">
        <v>-8.1</v>
      </c>
      <c r="T21" s="16">
        <v>-13.3</v>
      </c>
      <c r="U21" s="16">
        <v>-2.7</v>
      </c>
      <c r="V21" s="16">
        <v>8.6999999999999993</v>
      </c>
      <c r="W21" s="16">
        <v>10.6</v>
      </c>
      <c r="X21" s="16">
        <v>9.6</v>
      </c>
      <c r="Y21" s="16">
        <v>1.3</v>
      </c>
      <c r="Z21" s="16">
        <v>11.3</v>
      </c>
      <c r="AA21" s="16">
        <v>4.3</v>
      </c>
      <c r="AB21" s="16">
        <v>-2.2000000000000002</v>
      </c>
      <c r="AC21" s="16">
        <v>4</v>
      </c>
      <c r="AD21" s="16">
        <v>45.9</v>
      </c>
      <c r="AE21" s="3">
        <f>103-107</f>
        <v>-4</v>
      </c>
      <c r="AF21" s="3">
        <f>138-229</f>
        <v>-91</v>
      </c>
      <c r="AG21" s="3">
        <f>265-321</f>
        <v>-56</v>
      </c>
      <c r="AH21" s="3">
        <f>723-378</f>
        <v>345</v>
      </c>
      <c r="AI21" s="3">
        <v>148</v>
      </c>
      <c r="AJ21" s="3">
        <f t="shared" ref="AJ21:AO21" si="35">+AI57*$AR$35</f>
        <v>228.95999999999998</v>
      </c>
      <c r="AK21" s="3">
        <f t="shared" si="35"/>
        <v>404.45951976000003</v>
      </c>
      <c r="AL21" s="3">
        <f t="shared" si="35"/>
        <v>684.63631259136002</v>
      </c>
      <c r="AM21" s="3">
        <f t="shared" si="35"/>
        <v>1051.086316082899</v>
      </c>
      <c r="AN21" s="3">
        <f t="shared" si="35"/>
        <v>1565.5255427532873</v>
      </c>
      <c r="AO21" s="3">
        <f t="shared" si="35"/>
        <v>2197.9238170483795</v>
      </c>
    </row>
    <row r="22" spans="2:96" x14ac:dyDescent="0.2">
      <c r="B22" s="1" t="s">
        <v>23</v>
      </c>
      <c r="C22" s="3">
        <v>-3</v>
      </c>
      <c r="D22" s="3">
        <v>-63</v>
      </c>
      <c r="E22" s="3">
        <v>-71</v>
      </c>
      <c r="F22" s="3">
        <v>-64</v>
      </c>
      <c r="G22" s="3">
        <v>-87</v>
      </c>
      <c r="H22" s="3">
        <v>-269</v>
      </c>
      <c r="I22" s="3">
        <v>-239</v>
      </c>
      <c r="J22" s="3">
        <v>-107</v>
      </c>
      <c r="K22" s="3">
        <v>-34</v>
      </c>
      <c r="L22" s="3">
        <v>-58</v>
      </c>
      <c r="M22" s="3">
        <v>-40</v>
      </c>
      <c r="N22" s="3">
        <v>-50</v>
      </c>
      <c r="S22" s="3"/>
      <c r="T22" s="3"/>
      <c r="U22" s="3"/>
      <c r="V22" s="3"/>
      <c r="W22" s="3"/>
      <c r="X22" s="3"/>
      <c r="Y22" s="3"/>
      <c r="Z22" s="3"/>
      <c r="AA22" s="3"/>
      <c r="AB22" s="3"/>
      <c r="AC22" s="3"/>
      <c r="AD22" s="3"/>
      <c r="AE22" s="3">
        <v>-43</v>
      </c>
      <c r="AF22" s="3">
        <v>-109</v>
      </c>
      <c r="AG22" s="3">
        <v>-198</v>
      </c>
      <c r="AH22" s="3">
        <v>-615</v>
      </c>
      <c r="AI22" s="3">
        <v>-165</v>
      </c>
      <c r="AJ22" s="3">
        <v>-150</v>
      </c>
      <c r="AK22" s="3">
        <v>-150</v>
      </c>
      <c r="AL22" s="3">
        <v>-150</v>
      </c>
      <c r="AM22" s="3">
        <v>-150</v>
      </c>
      <c r="AN22" s="3">
        <v>-150</v>
      </c>
      <c r="AO22" s="3">
        <v>-150</v>
      </c>
    </row>
    <row r="23" spans="2:96" x14ac:dyDescent="0.2">
      <c r="B23" s="1" t="s">
        <v>24</v>
      </c>
      <c r="C23" s="3">
        <f t="shared" ref="C23:J23" si="36">C20+C21+C22</f>
        <v>111</v>
      </c>
      <c r="D23" s="3">
        <f t="shared" si="36"/>
        <v>274</v>
      </c>
      <c r="E23" s="3">
        <f t="shared" si="36"/>
        <v>198</v>
      </c>
      <c r="F23" s="3">
        <f t="shared" si="36"/>
        <v>-707</v>
      </c>
      <c r="G23" s="3">
        <f t="shared" si="36"/>
        <v>469</v>
      </c>
      <c r="H23" s="3">
        <f t="shared" si="36"/>
        <v>-2075</v>
      </c>
      <c r="I23" s="3">
        <f>I20+I21+I22</f>
        <v>698</v>
      </c>
      <c r="J23" s="3">
        <f t="shared" si="36"/>
        <v>325</v>
      </c>
      <c r="K23" s="3">
        <f t="shared" ref="K23:L23" si="37">K20+K21+K22</f>
        <v>481</v>
      </c>
      <c r="L23" s="3">
        <f t="shared" si="37"/>
        <v>668</v>
      </c>
      <c r="M23" s="3">
        <f t="shared" ref="M23:N23" si="38">M20+M21+M22</f>
        <v>517</v>
      </c>
      <c r="N23" s="3">
        <f t="shared" si="38"/>
        <v>763</v>
      </c>
      <c r="S23" s="3">
        <f>+S20+S21</f>
        <v>29.4</v>
      </c>
      <c r="T23" s="3">
        <f t="shared" ref="T23:AD23" si="39">+T20+T21</f>
        <v>42.700000000000017</v>
      </c>
      <c r="U23" s="3">
        <f t="shared" si="39"/>
        <v>71.899999999999977</v>
      </c>
      <c r="V23" s="3">
        <f t="shared" si="39"/>
        <v>108.39999999999998</v>
      </c>
      <c r="W23" s="3">
        <f t="shared" si="39"/>
        <v>140.30000000000004</v>
      </c>
      <c r="X23" s="3">
        <f t="shared" si="39"/>
        <v>163.10000000000002</v>
      </c>
      <c r="Y23" s="3">
        <f t="shared" si="39"/>
        <v>121.69999999999997</v>
      </c>
      <c r="Z23" s="3">
        <f t="shared" si="39"/>
        <v>150.5</v>
      </c>
      <c r="AA23" s="3">
        <f t="shared" si="39"/>
        <v>185.39999999999998</v>
      </c>
      <c r="AB23" s="3">
        <f t="shared" si="39"/>
        <v>54.100000000000065</v>
      </c>
      <c r="AC23" s="3">
        <f t="shared" si="39"/>
        <v>-65.399999999999977</v>
      </c>
      <c r="AD23" s="3">
        <f t="shared" si="39"/>
        <v>-107.29999999999981</v>
      </c>
      <c r="AE23" s="3">
        <f t="shared" ref="AE23" si="40">AE20+AE21+AE22</f>
        <v>81</v>
      </c>
      <c r="AF23" s="3">
        <f t="shared" ref="AF23:AO23" si="41">AF20+AF21+AF22</f>
        <v>241</v>
      </c>
      <c r="AG23" s="3">
        <f t="shared" si="41"/>
        <v>780</v>
      </c>
      <c r="AH23" s="3">
        <f t="shared" si="41"/>
        <v>1553</v>
      </c>
      <c r="AI23" s="3">
        <f t="shared" si="41"/>
        <v>2614</v>
      </c>
      <c r="AJ23" s="3">
        <f t="shared" si="41"/>
        <v>4874.9866600000014</v>
      </c>
      <c r="AK23" s="3">
        <f t="shared" si="41"/>
        <v>7782.6886897600007</v>
      </c>
      <c r="AL23" s="3">
        <f t="shared" si="41"/>
        <v>10179.166763653862</v>
      </c>
      <c r="AM23" s="3">
        <f t="shared" si="41"/>
        <v>14289.978518621901</v>
      </c>
      <c r="AN23" s="3">
        <f t="shared" si="41"/>
        <v>17566.618730419232</v>
      </c>
      <c r="AO23" s="3">
        <f t="shared" si="41"/>
        <v>21429.235642247513</v>
      </c>
    </row>
    <row r="24" spans="2:96" x14ac:dyDescent="0.2">
      <c r="B24" s="1" t="s">
        <v>25</v>
      </c>
      <c r="C24" s="3">
        <v>46</v>
      </c>
      <c r="D24" s="3">
        <v>85</v>
      </c>
      <c r="E24" s="3">
        <v>69</v>
      </c>
      <c r="F24" s="3">
        <v>144</v>
      </c>
      <c r="G24" s="3">
        <v>122</v>
      </c>
      <c r="H24" s="3">
        <v>332</v>
      </c>
      <c r="I24" s="3">
        <v>172</v>
      </c>
      <c r="J24" s="3">
        <v>65</v>
      </c>
      <c r="K24" s="3">
        <v>137</v>
      </c>
      <c r="L24" s="3">
        <v>137</v>
      </c>
      <c r="M24" s="3">
        <v>123</v>
      </c>
      <c r="N24" s="3">
        <v>124</v>
      </c>
      <c r="S24" s="16">
        <v>10.6</v>
      </c>
      <c r="T24" s="16">
        <v>9.5</v>
      </c>
      <c r="U24" s="16">
        <v>15.8</v>
      </c>
      <c r="V24" s="16">
        <v>31.7</v>
      </c>
      <c r="W24" s="16">
        <v>38.9</v>
      </c>
      <c r="X24" s="16">
        <v>45.6</v>
      </c>
      <c r="Y24" s="16">
        <v>49.1</v>
      </c>
      <c r="Z24" s="16">
        <v>44.7</v>
      </c>
      <c r="AA24" s="16">
        <v>49</v>
      </c>
      <c r="AB24" s="16">
        <v>40.299999999999997</v>
      </c>
      <c r="AC24" s="16">
        <v>-28.9</v>
      </c>
      <c r="AD24" s="16">
        <v>64.8</v>
      </c>
      <c r="AE24" s="3">
        <v>82</v>
      </c>
      <c r="AF24" s="3">
        <v>149</v>
      </c>
      <c r="AG24" s="3">
        <v>298</v>
      </c>
      <c r="AH24" s="3">
        <v>569</v>
      </c>
      <c r="AI24" s="3">
        <v>521</v>
      </c>
      <c r="AJ24" s="3">
        <f t="shared" ref="AJ24:AO24" si="42">+AJ23*0.2</f>
        <v>974.99733200000037</v>
      </c>
      <c r="AK24" s="3">
        <f t="shared" si="42"/>
        <v>1556.5377379520003</v>
      </c>
      <c r="AL24" s="3">
        <f t="shared" si="42"/>
        <v>2035.8333527307725</v>
      </c>
      <c r="AM24" s="3">
        <f t="shared" si="42"/>
        <v>2857.9957037243803</v>
      </c>
      <c r="AN24" s="3">
        <f t="shared" si="42"/>
        <v>3513.3237460838463</v>
      </c>
      <c r="AO24" s="3">
        <f t="shared" si="42"/>
        <v>4285.8471284495026</v>
      </c>
    </row>
    <row r="25" spans="2:96" x14ac:dyDescent="0.2">
      <c r="B25" s="2" t="s">
        <v>26</v>
      </c>
      <c r="C25" s="5">
        <f t="shared" ref="C25:J25" si="43">C23-C24</f>
        <v>65</v>
      </c>
      <c r="D25" s="5">
        <f t="shared" si="43"/>
        <v>189</v>
      </c>
      <c r="E25" s="5">
        <f t="shared" si="43"/>
        <v>129</v>
      </c>
      <c r="F25" s="5">
        <f t="shared" si="43"/>
        <v>-851</v>
      </c>
      <c r="G25" s="5">
        <f t="shared" si="43"/>
        <v>347</v>
      </c>
      <c r="H25" s="5">
        <f t="shared" si="43"/>
        <v>-2407</v>
      </c>
      <c r="I25" s="5">
        <f>I23-I24</f>
        <v>526</v>
      </c>
      <c r="J25" s="5">
        <f t="shared" si="43"/>
        <v>260</v>
      </c>
      <c r="K25" s="5">
        <f t="shared" ref="K25:L25" si="44">K23-K24</f>
        <v>344</v>
      </c>
      <c r="L25" s="5">
        <f t="shared" si="44"/>
        <v>531</v>
      </c>
      <c r="M25" s="5">
        <f t="shared" ref="M25:N25" si="45">M23-M24</f>
        <v>394</v>
      </c>
      <c r="N25" s="5">
        <f t="shared" si="45"/>
        <v>639</v>
      </c>
      <c r="O25" s="2"/>
      <c r="P25" s="2"/>
      <c r="Q25" s="2"/>
      <c r="R25" s="2"/>
      <c r="S25" s="15">
        <f>+S23-S24</f>
        <v>18.799999999999997</v>
      </c>
      <c r="T25" s="15">
        <f t="shared" ref="T25:AD25" si="46">+T23-T24</f>
        <v>33.200000000000017</v>
      </c>
      <c r="U25" s="15">
        <f t="shared" si="46"/>
        <v>56.09999999999998</v>
      </c>
      <c r="V25" s="15">
        <f t="shared" si="46"/>
        <v>76.699999999999974</v>
      </c>
      <c r="W25" s="15">
        <f t="shared" si="46"/>
        <v>101.40000000000003</v>
      </c>
      <c r="X25" s="15">
        <f t="shared" si="46"/>
        <v>117.50000000000003</v>
      </c>
      <c r="Y25" s="15">
        <f t="shared" si="46"/>
        <v>72.599999999999966</v>
      </c>
      <c r="Z25" s="15">
        <f t="shared" si="46"/>
        <v>105.8</v>
      </c>
      <c r="AA25" s="15">
        <f t="shared" si="46"/>
        <v>136.39999999999998</v>
      </c>
      <c r="AB25" s="15">
        <f t="shared" si="46"/>
        <v>13.800000000000068</v>
      </c>
      <c r="AC25" s="15">
        <f t="shared" si="46"/>
        <v>-36.499999999999979</v>
      </c>
      <c r="AD25" s="15">
        <f t="shared" si="46"/>
        <v>-172.0999999999998</v>
      </c>
      <c r="AE25" s="5">
        <f t="shared" ref="AE25" si="47">AE23-AE24</f>
        <v>-1</v>
      </c>
      <c r="AF25" s="5">
        <f t="shared" ref="AF25:AO25" si="48">AF23-AF24</f>
        <v>92</v>
      </c>
      <c r="AG25" s="5">
        <f t="shared" si="48"/>
        <v>482</v>
      </c>
      <c r="AH25" s="5">
        <f t="shared" si="48"/>
        <v>984</v>
      </c>
      <c r="AI25" s="5">
        <f t="shared" si="48"/>
        <v>2093</v>
      </c>
      <c r="AJ25" s="5">
        <f t="shared" si="48"/>
        <v>3899.989328000001</v>
      </c>
      <c r="AK25" s="5">
        <f t="shared" si="48"/>
        <v>6226.1509518080002</v>
      </c>
      <c r="AL25" s="5">
        <f t="shared" si="48"/>
        <v>8143.33341092309</v>
      </c>
      <c r="AM25" s="5">
        <f t="shared" si="48"/>
        <v>11431.982814897521</v>
      </c>
      <c r="AN25" s="5">
        <f t="shared" si="48"/>
        <v>14053.294984335385</v>
      </c>
      <c r="AO25" s="5">
        <f t="shared" si="48"/>
        <v>17143.388513798011</v>
      </c>
      <c r="AP25" s="5">
        <f t="shared" ref="AP25:BU25" si="49">AO25*(1+$AR$34)</f>
        <v>17486.25628407397</v>
      </c>
      <c r="AQ25" s="5">
        <f t="shared" si="49"/>
        <v>17835.981409755448</v>
      </c>
      <c r="AR25" s="5">
        <f t="shared" si="49"/>
        <v>18192.701037950559</v>
      </c>
      <c r="AS25" s="5">
        <f t="shared" si="49"/>
        <v>18556.555058709571</v>
      </c>
      <c r="AT25" s="5">
        <f t="shared" si="49"/>
        <v>18927.686159883764</v>
      </c>
      <c r="AU25" s="5">
        <f t="shared" si="49"/>
        <v>19306.239883081438</v>
      </c>
      <c r="AV25" s="5">
        <f t="shared" si="49"/>
        <v>19692.364680743067</v>
      </c>
      <c r="AW25" s="5">
        <f t="shared" si="49"/>
        <v>20086.211974357928</v>
      </c>
      <c r="AX25" s="5">
        <f t="shared" si="49"/>
        <v>20487.936213845085</v>
      </c>
      <c r="AY25" s="5">
        <f t="shared" si="49"/>
        <v>20897.694938121986</v>
      </c>
      <c r="AZ25" s="5">
        <f t="shared" si="49"/>
        <v>21315.648836884426</v>
      </c>
      <c r="BA25" s="5">
        <f t="shared" si="49"/>
        <v>21741.961813622114</v>
      </c>
      <c r="BB25" s="5">
        <f t="shared" si="49"/>
        <v>22176.801049894559</v>
      </c>
      <c r="BC25" s="5">
        <f t="shared" si="49"/>
        <v>22620.337070892449</v>
      </c>
      <c r="BD25" s="5">
        <f t="shared" si="49"/>
        <v>23072.743812310298</v>
      </c>
      <c r="BE25" s="5">
        <f t="shared" si="49"/>
        <v>23534.198688556506</v>
      </c>
      <c r="BF25" s="5">
        <f t="shared" si="49"/>
        <v>24004.882662327636</v>
      </c>
      <c r="BG25" s="5">
        <f t="shared" si="49"/>
        <v>24484.98031557419</v>
      </c>
      <c r="BH25" s="5">
        <f t="shared" si="49"/>
        <v>24974.679921885676</v>
      </c>
      <c r="BI25" s="5">
        <f t="shared" si="49"/>
        <v>25474.173520323391</v>
      </c>
      <c r="BJ25" s="5">
        <f t="shared" si="49"/>
        <v>25983.656990729858</v>
      </c>
      <c r="BK25" s="5">
        <f t="shared" si="49"/>
        <v>26503.330130544455</v>
      </c>
      <c r="BL25" s="5">
        <f t="shared" si="49"/>
        <v>27033.396733155343</v>
      </c>
      <c r="BM25" s="5">
        <f t="shared" si="49"/>
        <v>27574.064667818449</v>
      </c>
      <c r="BN25" s="5">
        <f t="shared" si="49"/>
        <v>28125.545961174819</v>
      </c>
      <c r="BO25" s="5">
        <f t="shared" si="49"/>
        <v>28688.056880398315</v>
      </c>
      <c r="BP25" s="5">
        <f t="shared" si="49"/>
        <v>29261.818018006281</v>
      </c>
      <c r="BQ25" s="5">
        <f t="shared" si="49"/>
        <v>29847.054378366407</v>
      </c>
      <c r="BR25" s="5">
        <f t="shared" si="49"/>
        <v>30443.995465933735</v>
      </c>
      <c r="BS25" s="5">
        <f t="shared" si="49"/>
        <v>31052.87537525241</v>
      </c>
      <c r="BT25" s="5">
        <f t="shared" si="49"/>
        <v>31673.932882757457</v>
      </c>
      <c r="BU25" s="5">
        <f t="shared" si="49"/>
        <v>32307.411540412606</v>
      </c>
      <c r="BV25" s="5">
        <f t="shared" ref="BV25:CR25" si="50">BU25*(1+$AR$34)</f>
        <v>32953.559771220862</v>
      </c>
      <c r="BW25" s="5">
        <f t="shared" si="50"/>
        <v>33612.63096664528</v>
      </c>
      <c r="BX25" s="5">
        <f t="shared" si="50"/>
        <v>34284.883585978183</v>
      </c>
      <c r="BY25" s="5">
        <f t="shared" si="50"/>
        <v>34970.581257697748</v>
      </c>
      <c r="BZ25" s="5">
        <f t="shared" si="50"/>
        <v>35669.9928828517</v>
      </c>
      <c r="CA25" s="5">
        <f t="shared" si="50"/>
        <v>36383.392740508738</v>
      </c>
      <c r="CB25" s="5">
        <f t="shared" si="50"/>
        <v>37111.060595318915</v>
      </c>
      <c r="CC25" s="5">
        <f t="shared" si="50"/>
        <v>37853.281807225292</v>
      </c>
      <c r="CD25" s="5">
        <f t="shared" si="50"/>
        <v>38610.347443369799</v>
      </c>
      <c r="CE25" s="5">
        <f t="shared" si="50"/>
        <v>39382.554392237194</v>
      </c>
      <c r="CF25" s="5">
        <f t="shared" si="50"/>
        <v>40170.205480081939</v>
      </c>
      <c r="CG25" s="5">
        <f t="shared" si="50"/>
        <v>40973.609589683576</v>
      </c>
      <c r="CH25" s="5">
        <f t="shared" si="50"/>
        <v>41793.081781477245</v>
      </c>
      <c r="CI25" s="5">
        <f t="shared" si="50"/>
        <v>42628.943417106791</v>
      </c>
      <c r="CJ25" s="5">
        <f t="shared" si="50"/>
        <v>43481.522285448926</v>
      </c>
      <c r="CK25" s="5">
        <f t="shared" si="50"/>
        <v>44351.152731157905</v>
      </c>
      <c r="CL25" s="5">
        <f t="shared" si="50"/>
        <v>45238.175785781066</v>
      </c>
      <c r="CM25" s="5">
        <f t="shared" si="50"/>
        <v>46142.939301496692</v>
      </c>
      <c r="CN25" s="5">
        <f t="shared" si="50"/>
        <v>47065.798087526629</v>
      </c>
      <c r="CO25" s="5">
        <f t="shared" si="50"/>
        <v>48007.114049277159</v>
      </c>
      <c r="CP25" s="5">
        <f t="shared" si="50"/>
        <v>48967.256330262702</v>
      </c>
      <c r="CQ25" s="5">
        <f t="shared" si="50"/>
        <v>49946.60145686796</v>
      </c>
      <c r="CR25" s="5">
        <f t="shared" si="50"/>
        <v>50945.533486005319</v>
      </c>
    </row>
    <row r="26" spans="2:96" x14ac:dyDescent="0.2">
      <c r="B26" s="1" t="s">
        <v>37</v>
      </c>
      <c r="C26" s="1">
        <v>50.408754000000002</v>
      </c>
      <c r="D26" s="1">
        <v>50.386519</v>
      </c>
      <c r="G26" s="1">
        <v>51.234999999999999</v>
      </c>
      <c r="H26" s="1">
        <v>51.193919999999999</v>
      </c>
      <c r="K26" s="1">
        <v>50.697000000000003</v>
      </c>
      <c r="L26" s="1">
        <v>50.697000000000003</v>
      </c>
      <c r="M26" s="1">
        <v>50.697000000000003</v>
      </c>
      <c r="N26" s="1">
        <v>50.697384</v>
      </c>
      <c r="AE26" s="1">
        <v>49.740406999999998</v>
      </c>
      <c r="AF26" s="1">
        <v>49.802993000000001</v>
      </c>
      <c r="AG26" s="1">
        <v>51.335621000000003</v>
      </c>
      <c r="AH26" s="1">
        <v>51.006860000000003</v>
      </c>
      <c r="AI26" s="1">
        <v>50.697428000000002</v>
      </c>
      <c r="AJ26" s="1">
        <f t="shared" ref="AJ26:AO26" si="51">AI26*0.987</f>
        <v>50.038361436000002</v>
      </c>
      <c r="AK26" s="1">
        <f t="shared" si="51"/>
        <v>49.387862737332</v>
      </c>
      <c r="AL26" s="1">
        <f t="shared" si="51"/>
        <v>48.745820521746687</v>
      </c>
      <c r="AM26" s="1">
        <f t="shared" si="51"/>
        <v>48.11212485496398</v>
      </c>
      <c r="AN26" s="1">
        <f t="shared" si="51"/>
        <v>47.486667231849445</v>
      </c>
      <c r="AO26" s="1">
        <f t="shared" si="51"/>
        <v>46.8693405578354</v>
      </c>
    </row>
    <row r="27" spans="2:96" x14ac:dyDescent="0.2">
      <c r="B27" s="1" t="s">
        <v>38</v>
      </c>
      <c r="C27" s="6">
        <f t="shared" ref="C27" si="52">C25/C26</f>
        <v>1.2894585730089658</v>
      </c>
      <c r="D27" s="6">
        <f>D25/D26</f>
        <v>3.7510033189631535</v>
      </c>
      <c r="E27" s="6" t="e">
        <f t="shared" ref="E27:J27" si="53">E25/E26</f>
        <v>#DIV/0!</v>
      </c>
      <c r="F27" s="6" t="e">
        <f t="shared" si="53"/>
        <v>#DIV/0!</v>
      </c>
      <c r="G27" s="6">
        <f t="shared" si="53"/>
        <v>6.7727139650629455</v>
      </c>
      <c r="H27" s="6">
        <f t="shared" si="53"/>
        <v>-47.017302054618987</v>
      </c>
      <c r="I27" s="6" t="e">
        <f t="shared" si="53"/>
        <v>#DIV/0!</v>
      </c>
      <c r="J27" s="6" t="e">
        <f t="shared" si="53"/>
        <v>#DIV/0!</v>
      </c>
      <c r="K27" s="6">
        <f t="shared" ref="K27:L27" si="54">K25/K26</f>
        <v>6.7854113655640367</v>
      </c>
      <c r="L27" s="6">
        <f t="shared" si="54"/>
        <v>10.473992543937511</v>
      </c>
      <c r="M27" s="6">
        <f t="shared" ref="M27:N27" si="55">M25/M26</f>
        <v>7.7716630175355537</v>
      </c>
      <c r="N27" s="6">
        <f t="shared" si="55"/>
        <v>12.604200642778729</v>
      </c>
      <c r="O27" s="6"/>
      <c r="P27" s="6"/>
      <c r="Q27" s="6"/>
      <c r="R27" s="6"/>
      <c r="S27" s="6"/>
      <c r="T27" s="6"/>
      <c r="U27" s="6"/>
      <c r="V27" s="6"/>
      <c r="W27" s="6"/>
      <c r="X27" s="6"/>
      <c r="Y27" s="6"/>
      <c r="Z27" s="6"/>
      <c r="AA27" s="6"/>
      <c r="AB27" s="6"/>
      <c r="AC27" s="6"/>
      <c r="AD27" s="6"/>
      <c r="AE27" s="6">
        <f t="shared" ref="AE27:AO27" si="56">AE25/AE26</f>
        <v>-2.0104379121787242E-2</v>
      </c>
      <c r="AF27" s="6">
        <f t="shared" si="56"/>
        <v>1.8472785360510362</v>
      </c>
      <c r="AG27" s="6">
        <f t="shared" si="56"/>
        <v>9.3891919608803409</v>
      </c>
      <c r="AH27" s="6">
        <f t="shared" si="56"/>
        <v>19.291522748116623</v>
      </c>
      <c r="AI27" s="6">
        <f t="shared" si="56"/>
        <v>41.284145617801357</v>
      </c>
      <c r="AJ27" s="6">
        <f t="shared" si="56"/>
        <v>77.939988762185195</v>
      </c>
      <c r="AK27" s="6">
        <f t="shared" si="56"/>
        <v>126.06641807768872</v>
      </c>
      <c r="AL27" s="6">
        <f t="shared" si="56"/>
        <v>167.05705891831593</v>
      </c>
      <c r="AM27" s="6">
        <f t="shared" si="56"/>
        <v>237.61126429896234</v>
      </c>
      <c r="AN27" s="6">
        <f t="shared" si="56"/>
        <v>295.94190966743184</v>
      </c>
      <c r="AO27" s="6">
        <f t="shared" si="56"/>
        <v>365.76978275688708</v>
      </c>
    </row>
    <row r="29" spans="2:96" x14ac:dyDescent="0.2">
      <c r="B29" s="1" t="s">
        <v>39</v>
      </c>
      <c r="AH29" s="11">
        <f t="shared" ref="AH29" si="57">+AH3/AG3-1</f>
        <v>0.34891341842014478</v>
      </c>
      <c r="AI29" s="11">
        <f>+AI3/AH3-1</f>
        <v>0.45838128116609123</v>
      </c>
    </row>
    <row r="30" spans="2:96" x14ac:dyDescent="0.2">
      <c r="B30" s="1" t="s">
        <v>41</v>
      </c>
      <c r="AH30" s="11">
        <f t="shared" ref="AH30:AI30" si="58">+AH4/AG4-1</f>
        <v>0.62229265715795035</v>
      </c>
      <c r="AI30" s="11">
        <f t="shared" si="58"/>
        <v>0.51872354281992838</v>
      </c>
    </row>
    <row r="31" spans="2:96" x14ac:dyDescent="0.2">
      <c r="B31" s="1" t="s">
        <v>40</v>
      </c>
      <c r="AH31" s="11">
        <f t="shared" ref="AH31:AI31" si="59">+AH5/AG5-1</f>
        <v>0.37864077669902918</v>
      </c>
      <c r="AI31" s="11">
        <f t="shared" si="59"/>
        <v>7.5492957746478906E-2</v>
      </c>
    </row>
    <row r="32" spans="2:96" x14ac:dyDescent="0.2">
      <c r="B32" s="1" t="s">
        <v>104</v>
      </c>
      <c r="AH32" s="11">
        <f t="shared" ref="AH32:AI32" si="60">+AH6/AG6-1</f>
        <v>0.29377431906614793</v>
      </c>
      <c r="AI32" s="11">
        <f t="shared" si="60"/>
        <v>0.33684210526315783</v>
      </c>
    </row>
    <row r="33" spans="2:44" x14ac:dyDescent="0.2">
      <c r="B33" s="2" t="s">
        <v>28</v>
      </c>
      <c r="C33" s="12"/>
      <c r="D33" s="12"/>
      <c r="E33" s="12"/>
      <c r="F33" s="12"/>
      <c r="G33" s="12">
        <f t="shared" ref="G33:H33" si="61">G12/C12-1</f>
        <v>0.41725978647686834</v>
      </c>
      <c r="H33" s="12">
        <f t="shared" si="61"/>
        <v>-0.26006191950464397</v>
      </c>
      <c r="I33" s="12">
        <f>I12/E12-1</f>
        <v>0.45985130111524164</v>
      </c>
      <c r="J33" s="12">
        <f>J12/F12-1</f>
        <v>1.2189229994967286</v>
      </c>
      <c r="K33" s="12">
        <f>K12/G12-1</f>
        <v>0.36001255492780926</v>
      </c>
      <c r="L33" s="12">
        <f t="shared" ref="L33" si="62">L12/H12-1</f>
        <v>0.41506276150627608</v>
      </c>
      <c r="M33" s="12">
        <f>M12/I12-1</f>
        <v>0.35268652915711729</v>
      </c>
      <c r="N33" s="12">
        <f t="shared" ref="N33" si="63">N12/J12-1</f>
        <v>0.37423452029938753</v>
      </c>
      <c r="O33" s="2"/>
      <c r="P33" s="2"/>
      <c r="Q33" s="2"/>
      <c r="R33" s="2"/>
      <c r="S33" s="2"/>
      <c r="T33" s="12">
        <f t="shared" ref="T33" si="64">T12/S12-1</f>
        <v>0.26131386861313888</v>
      </c>
      <c r="U33" s="12">
        <f t="shared" ref="U33" si="65">U12/T12-1</f>
        <v>0.25405092592592582</v>
      </c>
      <c r="V33" s="12">
        <f t="shared" ref="V33" si="66">V12/U12-1</f>
        <v>0.3793262574988463</v>
      </c>
      <c r="W33" s="12">
        <f t="shared" ref="W33" si="67">W12/V12-1</f>
        <v>0.24991635998661788</v>
      </c>
      <c r="X33" s="12">
        <f t="shared" ref="X33" si="68">X12/W12-1</f>
        <v>0.26498929336188426</v>
      </c>
      <c r="Y33" s="12">
        <f t="shared" ref="Y33" si="69">Y12/X12-1</f>
        <v>0.17752856538298767</v>
      </c>
      <c r="Z33" s="12">
        <f t="shared" ref="Z33" si="70">Z12/Y12-1</f>
        <v>0.17124887690925417</v>
      </c>
      <c r="AA33" s="12">
        <f t="shared" ref="AA33" si="71">AA12/Z12-1</f>
        <v>0.29548941393065364</v>
      </c>
      <c r="AB33" s="12">
        <f t="shared" ref="AB33" si="72">AB12/AA12-1</f>
        <v>0.44066792989104697</v>
      </c>
      <c r="AC33" s="12">
        <f t="shared" ref="AC33" si="73">AC12/AB12-1</f>
        <v>0.18347718865598028</v>
      </c>
      <c r="AD33" s="12">
        <f t="shared" ref="AD33" si="74">AD12/AC12-1</f>
        <v>0.59498506633326387</v>
      </c>
      <c r="AE33" s="12">
        <f t="shared" ref="AE33" si="75">AE12/AD12-1</f>
        <v>0.73061011191917413</v>
      </c>
      <c r="AF33" s="12">
        <f t="shared" ref="AF33" si="76">AF12/AE12-1</f>
        <v>0.77881227981882239</v>
      </c>
      <c r="AG33" s="12">
        <f>AG12/AF12-1</f>
        <v>0.49059272881595706</v>
      </c>
      <c r="AH33" s="12">
        <f t="shared" ref="AH33:AO33" si="77">AH12/AG12-1</f>
        <v>0.37354085603112841</v>
      </c>
      <c r="AI33" s="12">
        <f t="shared" si="77"/>
        <v>0.43556968147585162</v>
      </c>
      <c r="AJ33" s="12">
        <f t="shared" si="77"/>
        <v>0.29681715358328931</v>
      </c>
      <c r="AK33" s="12">
        <f t="shared" si="77"/>
        <v>0.27001416272360768</v>
      </c>
      <c r="AL33" s="12">
        <f t="shared" si="77"/>
        <v>0.2526461853378994</v>
      </c>
      <c r="AM33" s="12">
        <f t="shared" si="77"/>
        <v>0.22491483374429344</v>
      </c>
      <c r="AN33" s="12">
        <f t="shared" si="77"/>
        <v>0.20630541670976577</v>
      </c>
      <c r="AO33" s="12">
        <f t="shared" si="77"/>
        <v>0.19999999999999996</v>
      </c>
      <c r="AQ33" s="1" t="s">
        <v>74</v>
      </c>
      <c r="AR33" s="11">
        <v>0.1</v>
      </c>
    </row>
    <row r="34" spans="2:44" x14ac:dyDescent="0.2">
      <c r="B34" s="1" t="s">
        <v>86</v>
      </c>
      <c r="C34" s="4"/>
      <c r="D34" s="4"/>
      <c r="E34" s="4"/>
      <c r="F34" s="4"/>
      <c r="G34" s="4"/>
      <c r="H34" s="4"/>
      <c r="I34" s="4">
        <f>+I9/E9-1</f>
        <v>0.45255972696245728</v>
      </c>
      <c r="J34" s="4">
        <f>+J9/F9-1</f>
        <v>0.48163756773028288</v>
      </c>
      <c r="K34" s="4">
        <f>+K9/G9-1</f>
        <v>0.48926014319809075</v>
      </c>
      <c r="L34" s="4">
        <f>+L9/H9-1</f>
        <v>0.53409090909090917</v>
      </c>
      <c r="M34" s="4">
        <f>+M9/I9-1</f>
        <v>0.47509398496240607</v>
      </c>
      <c r="N34" s="4">
        <f t="shared" ref="N34:N35" si="78">+N9/J9-1</f>
        <v>0.44412840308817558</v>
      </c>
      <c r="AF34" s="4">
        <f>+AF9/AE9-1</f>
        <v>0.810546875</v>
      </c>
      <c r="AG34" s="4">
        <f t="shared" ref="AG34" si="79">+AG9/AF9-1</f>
        <v>0.25307443365695792</v>
      </c>
      <c r="AH34" s="4">
        <f t="shared" ref="AH34:AO34" si="80">+AH9/AG9-1</f>
        <v>0.41201790633608826</v>
      </c>
      <c r="AI34" s="4">
        <f t="shared" si="80"/>
        <v>0.48262407023533704</v>
      </c>
      <c r="AJ34" s="4">
        <f t="shared" si="80"/>
        <v>0.33000000000000007</v>
      </c>
      <c r="AK34" s="4">
        <f t="shared" si="80"/>
        <v>0.30000000000000004</v>
      </c>
      <c r="AL34" s="4">
        <f t="shared" si="80"/>
        <v>0.27</v>
      </c>
      <c r="AM34" s="4">
        <f t="shared" si="80"/>
        <v>0.24</v>
      </c>
      <c r="AN34" s="4">
        <f t="shared" si="80"/>
        <v>0.20999999999999996</v>
      </c>
      <c r="AO34" s="4">
        <f t="shared" si="80"/>
        <v>0.19999999999999996</v>
      </c>
      <c r="AQ34" s="1" t="s">
        <v>75</v>
      </c>
      <c r="AR34" s="11">
        <v>0.02</v>
      </c>
    </row>
    <row r="35" spans="2:44" x14ac:dyDescent="0.2">
      <c r="B35" s="1" t="s">
        <v>87</v>
      </c>
      <c r="C35" s="4"/>
      <c r="D35" s="4"/>
      <c r="E35" s="4"/>
      <c r="F35" s="4"/>
      <c r="G35" s="4"/>
      <c r="H35" s="4"/>
      <c r="I35" s="4">
        <f>+I10/E10-1</f>
        <v>0.46857142857142864</v>
      </c>
      <c r="J35" s="4">
        <f>+J10/F10-1</f>
        <v>4.9754601226993866</v>
      </c>
      <c r="K35" s="4">
        <f>+K10/G10-1</f>
        <v>0.21655629139072841</v>
      </c>
      <c r="L35" s="4">
        <f>+L10/H10-1</f>
        <v>0.27531837477258936</v>
      </c>
      <c r="M35" s="4">
        <f t="shared" ref="M35" si="81">+M10/I10-1</f>
        <v>0.20789327404113389</v>
      </c>
      <c r="N35" s="4">
        <f t="shared" si="78"/>
        <v>0.28593429158110872</v>
      </c>
      <c r="AF35" s="4">
        <f t="shared" ref="AF35:AH35" si="82">+AF10/AE10-1</f>
        <v>0.7213578500707214</v>
      </c>
      <c r="AG35" s="4">
        <f t="shared" si="82"/>
        <v>0.94289235825801154</v>
      </c>
      <c r="AH35" s="4">
        <f t="shared" si="82"/>
        <v>0.32628462677098757</v>
      </c>
      <c r="AI35" s="4">
        <f t="shared" ref="AI35:AO35" si="83">+AI10/AH10-1</f>
        <v>0.37404336734693877</v>
      </c>
      <c r="AJ35" s="4">
        <f t="shared" si="83"/>
        <v>0.25</v>
      </c>
      <c r="AK35" s="4">
        <f t="shared" si="83"/>
        <v>0.22500000000000009</v>
      </c>
      <c r="AL35" s="4">
        <f t="shared" si="83"/>
        <v>0.22500000000000009</v>
      </c>
      <c r="AM35" s="4">
        <f t="shared" si="83"/>
        <v>0.19999999999999996</v>
      </c>
      <c r="AN35" s="4">
        <f t="shared" si="83"/>
        <v>0.19999999999999996</v>
      </c>
      <c r="AO35" s="4">
        <f t="shared" si="83"/>
        <v>0.19999999999999996</v>
      </c>
      <c r="AQ35" s="1" t="s">
        <v>92</v>
      </c>
      <c r="AR35" s="11">
        <v>4.4999999999999998E-2</v>
      </c>
    </row>
    <row r="36" spans="2:44" x14ac:dyDescent="0.2">
      <c r="C36" s="4"/>
      <c r="D36" s="4"/>
      <c r="E36" s="4"/>
      <c r="F36" s="4"/>
      <c r="G36" s="4"/>
      <c r="H36" s="4"/>
      <c r="I36" s="4"/>
      <c r="J36" s="4"/>
      <c r="K36" s="4"/>
      <c r="L36" s="4"/>
      <c r="M36" s="4"/>
      <c r="AF36" s="4"/>
      <c r="AG36" s="4"/>
      <c r="AH36" s="4"/>
      <c r="AI36" s="4"/>
      <c r="AJ36" s="4"/>
      <c r="AK36" s="4"/>
      <c r="AL36" s="4"/>
      <c r="AM36" s="4"/>
      <c r="AN36" s="4"/>
      <c r="AO36" s="4"/>
      <c r="AQ36" s="1" t="s">
        <v>93</v>
      </c>
      <c r="AR36" s="13">
        <f>+NPV(AR33,AI25:CR25)+M57</f>
        <v>153458.12268699499</v>
      </c>
    </row>
    <row r="37" spans="2:44" x14ac:dyDescent="0.2">
      <c r="B37" s="1" t="s">
        <v>96</v>
      </c>
      <c r="C37" s="4"/>
      <c r="D37" s="4"/>
      <c r="E37" s="4"/>
      <c r="F37" s="4"/>
      <c r="G37" s="4"/>
      <c r="H37" s="4"/>
      <c r="I37" s="4"/>
      <c r="J37" s="4"/>
      <c r="K37" s="4"/>
      <c r="L37" s="4"/>
      <c r="M37" s="4"/>
      <c r="AF37" s="4"/>
      <c r="AG37" s="4"/>
      <c r="AH37" s="4"/>
      <c r="AI37" s="4"/>
      <c r="AJ37" s="4"/>
      <c r="AK37" s="4"/>
      <c r="AL37" s="4"/>
      <c r="AM37" s="4"/>
      <c r="AN37" s="4"/>
      <c r="AO37" s="4"/>
      <c r="AQ37" s="1" t="s">
        <v>77</v>
      </c>
      <c r="AR37" s="6">
        <f>+AR36/M26</f>
        <v>3026.9665401699308</v>
      </c>
    </row>
    <row r="38" spans="2:44" x14ac:dyDescent="0.2">
      <c r="B38" s="1" t="s">
        <v>97</v>
      </c>
      <c r="C38" s="4"/>
      <c r="D38" s="4"/>
      <c r="E38" s="4"/>
      <c r="F38" s="4"/>
      <c r="G38" s="4"/>
      <c r="H38" s="4"/>
      <c r="I38" s="4"/>
      <c r="J38" s="4"/>
      <c r="K38" s="4"/>
      <c r="L38" s="4"/>
      <c r="M38" s="4"/>
      <c r="AF38" s="4"/>
      <c r="AG38" s="4"/>
      <c r="AH38" s="4"/>
      <c r="AI38" s="4"/>
      <c r="AJ38" s="4"/>
      <c r="AK38" s="4"/>
      <c r="AL38" s="4"/>
      <c r="AM38" s="4"/>
      <c r="AN38" s="4"/>
      <c r="AO38" s="4"/>
      <c r="AQ38" s="1" t="s">
        <v>102</v>
      </c>
      <c r="AR38" s="4">
        <f ca="1">+AR37/Main!B2-1</f>
        <v>0.44466657765821638</v>
      </c>
    </row>
    <row r="39" spans="2:44" x14ac:dyDescent="0.2">
      <c r="B39" s="1" t="s">
        <v>29</v>
      </c>
      <c r="C39" s="4">
        <f t="shared" ref="C39:H39" si="84">C14/C12</f>
        <v>0.47731316725978645</v>
      </c>
      <c r="D39" s="4">
        <f t="shared" si="84"/>
        <v>0.48648090815273476</v>
      </c>
      <c r="E39" s="4">
        <f t="shared" si="84"/>
        <v>0.50111524163568777</v>
      </c>
      <c r="F39" s="4">
        <f t="shared" si="84"/>
        <v>0.2229491696024157</v>
      </c>
      <c r="G39" s="4">
        <f t="shared" si="84"/>
        <v>0.52887633396107969</v>
      </c>
      <c r="H39" s="4">
        <f t="shared" si="84"/>
        <v>0.10850767085076708</v>
      </c>
      <c r="I39" s="4">
        <f>I14/I12</f>
        <v>0.55054749172396233</v>
      </c>
      <c r="J39" s="4">
        <f>J14/J12</f>
        <v>0.46495804037196642</v>
      </c>
      <c r="K39" s="4">
        <f>K14/K12</f>
        <v>0.46711285483498732</v>
      </c>
      <c r="L39" s="4">
        <f t="shared" ref="L39:M39" si="85">L14/L12</f>
        <v>0.46619357382219595</v>
      </c>
      <c r="M39" s="4">
        <f t="shared" si="85"/>
        <v>0.45914909638554219</v>
      </c>
      <c r="N39" s="4">
        <f t="shared" ref="N39" si="86">N14/N12</f>
        <v>0.4537052318864499</v>
      </c>
      <c r="S39" s="4">
        <f t="shared" ref="S39:AE39" si="87">S14/S12</f>
        <v>0.74598540145985404</v>
      </c>
      <c r="T39" s="4">
        <f t="shared" si="87"/>
        <v>0.7216435185185186</v>
      </c>
      <c r="U39" s="4">
        <f t="shared" si="87"/>
        <v>0.71204430087678816</v>
      </c>
      <c r="V39" s="4">
        <f t="shared" si="87"/>
        <v>0.68082970893275341</v>
      </c>
      <c r="W39" s="4">
        <f t="shared" si="87"/>
        <v>0.66086723768736622</v>
      </c>
      <c r="X39" s="4">
        <f t="shared" si="87"/>
        <v>0.63817181548878543</v>
      </c>
      <c r="Y39" s="4">
        <f t="shared" si="87"/>
        <v>0.61796945193171604</v>
      </c>
      <c r="Z39" s="4">
        <f t="shared" si="87"/>
        <v>0.55293034673212638</v>
      </c>
      <c r="AA39" s="4">
        <f t="shared" si="87"/>
        <v>0.63583609663666507</v>
      </c>
      <c r="AB39" s="4">
        <f t="shared" si="87"/>
        <v>0.59153308672420879</v>
      </c>
      <c r="AC39" s="4">
        <f t="shared" si="87"/>
        <v>0.48419809682572756</v>
      </c>
      <c r="AD39" s="4">
        <f t="shared" si="87"/>
        <v>0.47994600008709665</v>
      </c>
      <c r="AE39" s="4">
        <f t="shared" ref="AE39" si="88">AE14/AE12</f>
        <v>0.43004529441368899</v>
      </c>
      <c r="AF39" s="4">
        <f t="shared" ref="AF39:AO39" si="89">AF14/AF12</f>
        <v>0.42509548733908614</v>
      </c>
      <c r="AG39" s="4">
        <f t="shared" si="89"/>
        <v>0.48998766252253961</v>
      </c>
      <c r="AH39" s="4">
        <f t="shared" si="89"/>
        <v>0.49789262765148901</v>
      </c>
      <c r="AI39" s="4">
        <f t="shared" si="89"/>
        <v>0.46094238821774075</v>
      </c>
      <c r="AJ39" s="4">
        <f t="shared" si="89"/>
        <v>0.51</v>
      </c>
      <c r="AK39" s="4">
        <f t="shared" si="89"/>
        <v>0.53</v>
      </c>
      <c r="AL39" s="4">
        <f t="shared" si="89"/>
        <v>0.53</v>
      </c>
      <c r="AM39" s="4">
        <f t="shared" si="89"/>
        <v>0.55000000000000004</v>
      </c>
      <c r="AN39" s="4">
        <f t="shared" si="89"/>
        <v>0.54999999999999993</v>
      </c>
      <c r="AO39" s="4">
        <f t="shared" si="89"/>
        <v>0.55000000000000004</v>
      </c>
    </row>
    <row r="40" spans="2:44" x14ac:dyDescent="0.2">
      <c r="B40" s="1" t="s">
        <v>30</v>
      </c>
      <c r="C40" s="4">
        <f t="shared" ref="C40:H40" si="90">C20/C12</f>
        <v>6.1832740213523134E-2</v>
      </c>
      <c r="D40" s="4">
        <f t="shared" si="90"/>
        <v>8.0288957688338491E-2</v>
      </c>
      <c r="E40" s="4">
        <f t="shared" si="90"/>
        <v>0.1100371747211896</v>
      </c>
      <c r="F40" s="4">
        <f t="shared" si="90"/>
        <v>-0.33517866129843987</v>
      </c>
      <c r="G40" s="4">
        <f t="shared" si="90"/>
        <v>0.15348399246704331</v>
      </c>
      <c r="H40" s="4">
        <f t="shared" si="90"/>
        <v>-0.54923291492329152</v>
      </c>
      <c r="I40" s="4">
        <f>I20/I12</f>
        <v>0.21695951107715813</v>
      </c>
      <c r="J40" s="4">
        <f>J20/J12</f>
        <v>7.5980948060784759E-2</v>
      </c>
      <c r="K40" s="4">
        <f>K20/K12</f>
        <v>0.12185552734825755</v>
      </c>
      <c r="L40" s="4">
        <f t="shared" ref="L40:M40" si="91">L20/L12</f>
        <v>0.14311058545239502</v>
      </c>
      <c r="M40" s="4">
        <f t="shared" si="91"/>
        <v>0.10485692771084337</v>
      </c>
      <c r="N40" s="4">
        <f t="shared" ref="N40" si="92">N20/N12</f>
        <v>0.13533586400396105</v>
      </c>
      <c r="S40" s="4">
        <f t="shared" ref="S40:AE40" si="93">S20/S12</f>
        <v>0.27372262773722628</v>
      </c>
      <c r="T40" s="4">
        <f t="shared" si="93"/>
        <v>0.32407407407407413</v>
      </c>
      <c r="U40" s="4">
        <f t="shared" si="93"/>
        <v>0.34425473004153201</v>
      </c>
      <c r="V40" s="4">
        <f t="shared" si="93"/>
        <v>0.33355637336901967</v>
      </c>
      <c r="W40" s="4">
        <f t="shared" si="93"/>
        <v>0.34716274089935772</v>
      </c>
      <c r="X40" s="4">
        <f t="shared" si="93"/>
        <v>0.32479898434193827</v>
      </c>
      <c r="Y40" s="4">
        <f t="shared" si="93"/>
        <v>0.21635220125786159</v>
      </c>
      <c r="Z40" s="4">
        <f t="shared" si="93"/>
        <v>0.21356244246701442</v>
      </c>
      <c r="AA40" s="4">
        <f t="shared" si="93"/>
        <v>0.21447181430601608</v>
      </c>
      <c r="AB40" s="4">
        <f t="shared" si="93"/>
        <v>4.6280312371557802E-2</v>
      </c>
      <c r="AC40" s="4">
        <f t="shared" si="93"/>
        <v>-4.8204487045912327E-2</v>
      </c>
      <c r="AD40" s="4">
        <f t="shared" si="93"/>
        <v>-6.6716021425771807E-2</v>
      </c>
      <c r="AE40" s="4">
        <f t="shared" ref="AE40" si="94">AE20/AE12</f>
        <v>3.2209360845495721E-2</v>
      </c>
      <c r="AF40" s="4">
        <f t="shared" ref="AF40:AO40" si="95">AF20/AF12</f>
        <v>6.2385061536285188E-2</v>
      </c>
      <c r="AG40" s="4">
        <f t="shared" si="95"/>
        <v>9.8130397646388909E-2</v>
      </c>
      <c r="AH40" s="4">
        <f t="shared" si="95"/>
        <v>0.12595868168313412</v>
      </c>
      <c r="AI40" s="4">
        <f t="shared" si="95"/>
        <v>0.12663040862492178</v>
      </c>
      <c r="AJ40" s="4">
        <f t="shared" si="95"/>
        <v>0.17800000000000005</v>
      </c>
      <c r="AK40" s="4">
        <f t="shared" si="95"/>
        <v>0.21999999999999997</v>
      </c>
      <c r="AL40" s="4">
        <f t="shared" si="95"/>
        <v>0.22500000000000001</v>
      </c>
      <c r="AM40" s="4">
        <f t="shared" si="95"/>
        <v>0.255</v>
      </c>
      <c r="AN40" s="4">
        <f t="shared" si="95"/>
        <v>0.255</v>
      </c>
      <c r="AO40" s="4">
        <f t="shared" si="95"/>
        <v>0.255</v>
      </c>
    </row>
    <row r="41" spans="2:44" x14ac:dyDescent="0.2">
      <c r="B41" s="1" t="s">
        <v>31</v>
      </c>
      <c r="C41" s="4">
        <f t="shared" ref="C41:H41" si="96">C25/C12</f>
        <v>2.8914590747330961E-2</v>
      </c>
      <c r="D41" s="4">
        <f t="shared" si="96"/>
        <v>3.9009287925696592E-2</v>
      </c>
      <c r="E41" s="4">
        <f t="shared" si="96"/>
        <v>4.7955390334572488E-2</v>
      </c>
      <c r="F41" s="4">
        <f t="shared" si="96"/>
        <v>-0.42828384499245092</v>
      </c>
      <c r="G41" s="4">
        <f t="shared" si="96"/>
        <v>0.10891399874450722</v>
      </c>
      <c r="H41" s="4">
        <f t="shared" si="96"/>
        <v>-0.67140864714086468</v>
      </c>
      <c r="I41" s="4">
        <f>I25/I12</f>
        <v>0.13394448688566335</v>
      </c>
      <c r="J41" s="4">
        <f>J25/J12</f>
        <v>5.8970288047176231E-2</v>
      </c>
      <c r="K41" s="4">
        <f>K25/K12</f>
        <v>7.9390722363258712E-2</v>
      </c>
      <c r="L41" s="4">
        <f t="shared" ref="L41:M41" si="97">L25/L12</f>
        <v>0.10467179183914843</v>
      </c>
      <c r="M41" s="4">
        <f t="shared" si="97"/>
        <v>7.4171686746987958E-2</v>
      </c>
      <c r="N41" s="4">
        <f t="shared" ref="N41" si="98">N25/N12</f>
        <v>0.1054629476811355</v>
      </c>
      <c r="S41" s="4">
        <f t="shared" ref="S41:AE41" si="99">S25/S12</f>
        <v>0.13722627737226276</v>
      </c>
      <c r="T41" s="4">
        <f t="shared" si="99"/>
        <v>0.19212962962962971</v>
      </c>
      <c r="U41" s="4">
        <f t="shared" si="99"/>
        <v>0.25888324873096441</v>
      </c>
      <c r="V41" s="4">
        <f t="shared" si="99"/>
        <v>0.25660756105720972</v>
      </c>
      <c r="W41" s="4">
        <f t="shared" si="99"/>
        <v>0.27141327623126343</v>
      </c>
      <c r="X41" s="4">
        <f t="shared" si="99"/>
        <v>0.24862462970799837</v>
      </c>
      <c r="Y41" s="4">
        <f t="shared" si="99"/>
        <v>0.13045822102425869</v>
      </c>
      <c r="Z41" s="4">
        <f t="shared" si="99"/>
        <v>0.16231972997852104</v>
      </c>
      <c r="AA41" s="4">
        <f t="shared" si="99"/>
        <v>0.16153481762198008</v>
      </c>
      <c r="AB41" s="4">
        <f t="shared" si="99"/>
        <v>1.1344019728730019E-2</v>
      </c>
      <c r="AC41" s="4">
        <f t="shared" si="99"/>
        <v>-2.5352503993887599E-2</v>
      </c>
      <c r="AD41" s="4">
        <f t="shared" si="99"/>
        <v>-7.4946653311849395E-2</v>
      </c>
      <c r="AE41" s="4">
        <f t="shared" ref="AE41" si="100">AE25/AE12</f>
        <v>-2.5163563160543532E-4</v>
      </c>
      <c r="AF41" s="4">
        <f t="shared" ref="AF41:AO41" si="101">AF25/AF12</f>
        <v>1.3014570660630925E-2</v>
      </c>
      <c r="AG41" s="4">
        <f t="shared" si="101"/>
        <v>4.5743570276169689E-2</v>
      </c>
      <c r="AH41" s="4">
        <f t="shared" si="101"/>
        <v>6.79886685552408E-2</v>
      </c>
      <c r="AI41" s="4">
        <f t="shared" si="101"/>
        <v>0.10073639120180969</v>
      </c>
      <c r="AJ41" s="4">
        <f t="shared" si="101"/>
        <v>0.14474442066258242</v>
      </c>
      <c r="AK41" s="4">
        <f t="shared" si="101"/>
        <v>0.18194892563263451</v>
      </c>
      <c r="AL41" s="4">
        <f t="shared" si="101"/>
        <v>0.18997814634468213</v>
      </c>
      <c r="AM41" s="4">
        <f t="shared" si="101"/>
        <v>0.21772941134338603</v>
      </c>
      <c r="AN41" s="4">
        <f t="shared" si="101"/>
        <v>0.221879112414644</v>
      </c>
      <c r="AO41" s="4">
        <f t="shared" si="101"/>
        <v>0.22555563371797602</v>
      </c>
    </row>
    <row r="43" spans="2:44" x14ac:dyDescent="0.2">
      <c r="B43" s="1" t="s">
        <v>46</v>
      </c>
      <c r="C43" s="3"/>
      <c r="D43" s="3"/>
      <c r="E43" s="3"/>
      <c r="F43" s="3">
        <v>9615</v>
      </c>
      <c r="G43" s="3">
        <v>9434</v>
      </c>
      <c r="H43" s="3"/>
      <c r="I43" s="3">
        <v>11360</v>
      </c>
      <c r="J43" s="3">
        <v>13450</v>
      </c>
      <c r="K43" s="3">
        <v>11365</v>
      </c>
      <c r="L43" s="3"/>
      <c r="M43" s="3">
        <v>12907</v>
      </c>
      <c r="N43" s="3"/>
      <c r="O43" s="3"/>
      <c r="P43" s="3"/>
      <c r="Q43" s="3"/>
      <c r="R43" s="3"/>
      <c r="S43" s="3"/>
      <c r="T43" s="3"/>
      <c r="U43" s="3"/>
      <c r="V43" s="3"/>
      <c r="W43" s="3"/>
      <c r="X43" s="3"/>
      <c r="Y43" s="3"/>
      <c r="Z43" s="3"/>
      <c r="AA43" s="3"/>
      <c r="AB43" s="3"/>
      <c r="AC43" s="3"/>
      <c r="AD43" s="3"/>
      <c r="AE43" s="3"/>
      <c r="AF43" s="3">
        <v>28351</v>
      </c>
      <c r="AG43" s="3">
        <v>34449</v>
      </c>
      <c r="AH43" s="3">
        <v>44749</v>
      </c>
    </row>
    <row r="44" spans="2:44" x14ac:dyDescent="0.2">
      <c r="B44" s="1" t="s">
        <v>73</v>
      </c>
      <c r="J44" s="4">
        <f>J43/F43-1</f>
        <v>0.39885595423816955</v>
      </c>
      <c r="K44" s="4">
        <f t="shared" ref="K44:M44" si="102">K43/G43-1</f>
        <v>0.20468518125927493</v>
      </c>
      <c r="L44" s="4" t="e">
        <f t="shared" ref="L44" si="103">L43/H43-1</f>
        <v>#DIV/0!</v>
      </c>
      <c r="M44" s="4">
        <f t="shared" si="102"/>
        <v>0.1361795774647887</v>
      </c>
      <c r="AG44" s="4">
        <f t="shared" ref="AG44" si="104">AG43/AF43-1</f>
        <v>0.21508941483545563</v>
      </c>
      <c r="AH44" s="4">
        <f>AH43/AG43-1</f>
        <v>0.29899271386687576</v>
      </c>
    </row>
    <row r="46" spans="2:44" x14ac:dyDescent="0.2">
      <c r="B46" s="1" t="s">
        <v>32</v>
      </c>
      <c r="C46" s="3">
        <v>-233</v>
      </c>
      <c r="D46" s="3">
        <f>674-C46</f>
        <v>907</v>
      </c>
      <c r="E46" s="3">
        <f>1398-D46-C46</f>
        <v>724</v>
      </c>
      <c r="F46" s="3">
        <f>2940-E46-D46-C46</f>
        <v>1542</v>
      </c>
      <c r="G46" s="3">
        <v>859</v>
      </c>
      <c r="H46" s="3">
        <f>2271-G46</f>
        <v>1412</v>
      </c>
      <c r="I46" s="3">
        <f>3212-H46-G46</f>
        <v>941</v>
      </c>
      <c r="J46" s="3">
        <f>5140-I46-H46-G46</f>
        <v>1928</v>
      </c>
      <c r="K46" s="3">
        <v>1512</v>
      </c>
      <c r="L46" s="3">
        <f>3394-K46</f>
        <v>1882</v>
      </c>
      <c r="M46" s="3">
        <f>4994-L46-K46</f>
        <v>1600</v>
      </c>
      <c r="N46" s="3">
        <f>7918-M46-L46-K46</f>
        <v>2924</v>
      </c>
      <c r="O46" s="3"/>
      <c r="P46" s="3"/>
      <c r="Q46" s="3"/>
      <c r="R46" s="3"/>
      <c r="S46" s="16">
        <v>55.8</v>
      </c>
      <c r="T46" s="16">
        <v>49.7</v>
      </c>
      <c r="U46" s="16">
        <v>67.900000000000006</v>
      </c>
      <c r="V46" s="16">
        <v>89.4</v>
      </c>
      <c r="W46" s="16">
        <v>139.9</v>
      </c>
      <c r="X46" s="16">
        <v>142.5</v>
      </c>
      <c r="Y46" s="16">
        <v>196.8</v>
      </c>
      <c r="Z46" s="16">
        <v>221.4</v>
      </c>
      <c r="AA46" s="16">
        <v>190.3</v>
      </c>
      <c r="AB46" s="16">
        <v>269</v>
      </c>
      <c r="AC46" s="16">
        <v>230.9</v>
      </c>
      <c r="AD46" s="16">
        <v>451.1</v>
      </c>
      <c r="AE46" s="3">
        <v>1182</v>
      </c>
      <c r="AF46" s="3">
        <v>965</v>
      </c>
      <c r="AG46" s="3">
        <v>2940</v>
      </c>
      <c r="AH46" s="3">
        <v>5140</v>
      </c>
      <c r="AI46" s="3">
        <f>+AH46*1.4</f>
        <v>7195.9999999999991</v>
      </c>
      <c r="AJ46" s="3">
        <f>+AI46*1.25</f>
        <v>8994.9999999999982</v>
      </c>
      <c r="AK46" s="3">
        <f>+AJ46*1.2</f>
        <v>10793.999999999998</v>
      </c>
      <c r="AL46" s="3">
        <f t="shared" ref="AL46:AO46" si="105">+AK46*1.25</f>
        <v>13492.499999999998</v>
      </c>
      <c r="AM46" s="3">
        <f t="shared" si="105"/>
        <v>16865.624999999996</v>
      </c>
      <c r="AN46" s="3">
        <f t="shared" si="105"/>
        <v>21082.031249999996</v>
      </c>
      <c r="AO46" s="3">
        <f t="shared" si="105"/>
        <v>26352.539062499996</v>
      </c>
    </row>
    <row r="47" spans="2:44" x14ac:dyDescent="0.2">
      <c r="B47" s="1" t="s">
        <v>33</v>
      </c>
      <c r="C47" s="3">
        <v>137</v>
      </c>
      <c r="D47" s="3">
        <f>236-C47</f>
        <v>99</v>
      </c>
      <c r="E47" s="3">
        <f>342-D47-C47</f>
        <v>106</v>
      </c>
      <c r="F47" s="3">
        <f>454-E47-D47-C47</f>
        <v>112</v>
      </c>
      <c r="G47" s="3">
        <v>89</v>
      </c>
      <c r="H47" s="3">
        <f>203-G47</f>
        <v>114</v>
      </c>
      <c r="I47" s="3">
        <f>329-H47-G47</f>
        <v>126</v>
      </c>
      <c r="J47" s="3">
        <f>509-I47-H47-G47</f>
        <v>180</v>
      </c>
      <c r="K47" s="3">
        <v>148</v>
      </c>
      <c r="L47" s="3">
        <f>329-K47</f>
        <v>181</v>
      </c>
      <c r="M47" s="3">
        <f>551-L47-K47</f>
        <v>222</v>
      </c>
      <c r="N47" s="3">
        <f>860-M47-L47-K47</f>
        <v>309</v>
      </c>
      <c r="O47" s="3"/>
      <c r="P47" s="3"/>
      <c r="Q47" s="3"/>
      <c r="R47" s="3"/>
      <c r="S47" s="3"/>
      <c r="T47" s="3"/>
      <c r="U47" s="3"/>
      <c r="V47" s="3"/>
      <c r="W47" s="3"/>
      <c r="X47" s="3"/>
      <c r="Y47" s="3"/>
      <c r="Z47" s="3"/>
      <c r="AA47" s="3"/>
      <c r="AB47" s="3"/>
      <c r="AC47" s="3"/>
      <c r="AD47" s="3"/>
      <c r="AE47" s="3">
        <v>247</v>
      </c>
      <c r="AF47" s="3">
        <v>573</v>
      </c>
      <c r="AG47" s="3">
        <v>454</v>
      </c>
      <c r="AH47" s="3">
        <v>509</v>
      </c>
      <c r="AI47" s="3">
        <f>+AH47*1.05</f>
        <v>534.45000000000005</v>
      </c>
      <c r="AJ47" s="3">
        <f>+AI47*1.05</f>
        <v>561.17250000000013</v>
      </c>
      <c r="AK47" s="3">
        <f t="shared" ref="AK47:AO47" si="106">+AJ47*1.05</f>
        <v>589.23112500000013</v>
      </c>
      <c r="AL47" s="3">
        <f t="shared" si="106"/>
        <v>618.69268125000019</v>
      </c>
      <c r="AM47" s="3">
        <f t="shared" si="106"/>
        <v>649.62731531250017</v>
      </c>
      <c r="AN47" s="3">
        <f t="shared" si="106"/>
        <v>682.10868107812519</v>
      </c>
      <c r="AO47" s="3">
        <f t="shared" si="106"/>
        <v>716.21411513203145</v>
      </c>
    </row>
    <row r="48" spans="2:44" x14ac:dyDescent="0.2">
      <c r="B48" s="2" t="s">
        <v>34</v>
      </c>
      <c r="C48" s="5">
        <f t="shared" ref="C48:H48" si="107">C46-C47</f>
        <v>-370</v>
      </c>
      <c r="D48" s="5">
        <f t="shared" si="107"/>
        <v>808</v>
      </c>
      <c r="E48" s="5">
        <f t="shared" si="107"/>
        <v>618</v>
      </c>
      <c r="F48" s="5">
        <f t="shared" si="107"/>
        <v>1430</v>
      </c>
      <c r="G48" s="5">
        <f t="shared" si="107"/>
        <v>770</v>
      </c>
      <c r="H48" s="5">
        <f t="shared" si="107"/>
        <v>1298</v>
      </c>
      <c r="I48" s="5">
        <f>I46-I47</f>
        <v>815</v>
      </c>
      <c r="J48" s="5">
        <f t="shared" ref="J48:N48" si="108">J46-J47</f>
        <v>1748</v>
      </c>
      <c r="K48" s="5">
        <f t="shared" si="108"/>
        <v>1364</v>
      </c>
      <c r="L48" s="5">
        <f t="shared" si="108"/>
        <v>1701</v>
      </c>
      <c r="M48" s="5">
        <f t="shared" si="108"/>
        <v>1378</v>
      </c>
      <c r="N48" s="5">
        <f t="shared" si="108"/>
        <v>2615</v>
      </c>
      <c r="O48" s="3"/>
      <c r="P48" s="3"/>
      <c r="Q48" s="3"/>
      <c r="R48" s="3"/>
      <c r="S48" s="3"/>
      <c r="T48" s="3"/>
      <c r="U48" s="3"/>
      <c r="V48" s="3"/>
      <c r="W48" s="3"/>
      <c r="X48" s="3"/>
      <c r="Y48" s="3"/>
      <c r="Z48" s="3"/>
      <c r="AA48" s="3"/>
      <c r="AB48" s="3"/>
      <c r="AC48" s="3"/>
      <c r="AD48" s="3"/>
      <c r="AE48" s="3">
        <f t="shared" ref="AE48:AO48" si="109">AE46-AE47</f>
        <v>935</v>
      </c>
      <c r="AF48" s="3">
        <f t="shared" si="109"/>
        <v>392</v>
      </c>
      <c r="AG48" s="3">
        <f t="shared" si="109"/>
        <v>2486</v>
      </c>
      <c r="AH48" s="3">
        <f t="shared" si="109"/>
        <v>4631</v>
      </c>
      <c r="AI48" s="3">
        <f t="shared" si="109"/>
        <v>6661.5499999999993</v>
      </c>
      <c r="AJ48" s="3">
        <f t="shared" si="109"/>
        <v>8433.8274999999976</v>
      </c>
      <c r="AK48" s="3">
        <f t="shared" si="109"/>
        <v>10204.768874999998</v>
      </c>
      <c r="AL48" s="3">
        <f t="shared" si="109"/>
        <v>12873.807318749998</v>
      </c>
      <c r="AM48" s="3">
        <f t="shared" si="109"/>
        <v>16215.997684687496</v>
      </c>
      <c r="AN48" s="3">
        <f t="shared" si="109"/>
        <v>20399.922568921873</v>
      </c>
      <c r="AO48" s="3">
        <f t="shared" si="109"/>
        <v>25636.324947367964</v>
      </c>
    </row>
    <row r="49" spans="2:41" x14ac:dyDescent="0.2">
      <c r="B49" s="1" t="s">
        <v>95</v>
      </c>
      <c r="C49" s="3"/>
      <c r="D49" s="3"/>
      <c r="E49" s="3"/>
      <c r="F49" s="3">
        <f t="shared" ref="F49" si="110">+SUM(C48:F48)</f>
        <v>2486</v>
      </c>
      <c r="G49" s="3">
        <f t="shared" ref="G49" si="111">+SUM(D48:G48)</f>
        <v>3626</v>
      </c>
      <c r="H49" s="3">
        <f t="shared" ref="H49" si="112">+SUM(E48:H48)</f>
        <v>4116</v>
      </c>
      <c r="I49" s="3">
        <f t="shared" ref="I49" si="113">+SUM(F48:I48)</f>
        <v>4313</v>
      </c>
      <c r="J49" s="3">
        <f t="shared" ref="J49:L49" si="114">+SUM(G48:J48)</f>
        <v>4631</v>
      </c>
      <c r="K49" s="3">
        <f t="shared" si="114"/>
        <v>5225</v>
      </c>
      <c r="L49" s="3">
        <f t="shared" si="114"/>
        <v>5628</v>
      </c>
      <c r="M49" s="3">
        <f>+SUM(J48:M48)</f>
        <v>6191</v>
      </c>
      <c r="N49" s="3">
        <f t="shared" ref="N49" si="115">+SUM(K48:N48)</f>
        <v>7058</v>
      </c>
      <c r="O49" s="3"/>
      <c r="P49" s="3"/>
      <c r="Q49" s="3"/>
      <c r="R49" s="3"/>
      <c r="S49" s="3"/>
      <c r="T49" s="3"/>
      <c r="U49" s="3"/>
      <c r="V49" s="3"/>
      <c r="W49" s="3"/>
      <c r="X49" s="3"/>
      <c r="Y49" s="3"/>
      <c r="Z49" s="3"/>
      <c r="AA49" s="3"/>
      <c r="AB49" s="3"/>
      <c r="AC49" s="3"/>
      <c r="AD49" s="3"/>
      <c r="AE49" s="3"/>
      <c r="AF49" s="3"/>
      <c r="AG49" s="3"/>
      <c r="AH49" s="3"/>
    </row>
    <row r="50" spans="2:41" x14ac:dyDescent="0.2">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2:41" x14ac:dyDescent="0.2">
      <c r="B51" s="1" t="s">
        <v>35</v>
      </c>
      <c r="C51" s="3"/>
      <c r="D51" s="3"/>
      <c r="E51" s="3">
        <v>25</v>
      </c>
      <c r="F51" s="3"/>
      <c r="G51" s="3"/>
      <c r="H51" s="3"/>
      <c r="I51" s="3">
        <v>39</v>
      </c>
      <c r="J51" s="3"/>
      <c r="K51" s="3"/>
      <c r="L51" s="3"/>
      <c r="M51" s="3"/>
      <c r="N51" s="3"/>
      <c r="O51" s="3"/>
      <c r="P51" s="3"/>
      <c r="Q51" s="3"/>
      <c r="R51" s="3"/>
      <c r="S51" s="3"/>
      <c r="T51" s="3"/>
      <c r="U51" s="3"/>
      <c r="V51" s="3"/>
      <c r="W51" s="3"/>
      <c r="X51" s="3"/>
      <c r="Y51" s="3"/>
      <c r="Z51" s="3"/>
      <c r="AA51" s="3"/>
      <c r="AB51" s="3"/>
      <c r="AC51" s="3"/>
      <c r="AD51" s="3"/>
      <c r="AE51" s="3">
        <v>131</v>
      </c>
      <c r="AF51" s="3">
        <v>89</v>
      </c>
      <c r="AG51" s="3">
        <v>84</v>
      </c>
      <c r="AH51" s="3">
        <v>167</v>
      </c>
    </row>
    <row r="52" spans="2:41" x14ac:dyDescent="0.2">
      <c r="B52" s="1" t="s">
        <v>36</v>
      </c>
      <c r="C52" s="3">
        <f t="shared" ref="C52:H52" si="116">C48-C51</f>
        <v>-370</v>
      </c>
      <c r="D52" s="3">
        <f t="shared" si="116"/>
        <v>808</v>
      </c>
      <c r="E52" s="3">
        <f t="shared" si="116"/>
        <v>593</v>
      </c>
      <c r="F52" s="3">
        <f t="shared" si="116"/>
        <v>1430</v>
      </c>
      <c r="G52" s="3">
        <f t="shared" si="116"/>
        <v>770</v>
      </c>
      <c r="H52" s="3">
        <f t="shared" si="116"/>
        <v>1298</v>
      </c>
      <c r="I52" s="3">
        <f>I48-I51</f>
        <v>776</v>
      </c>
      <c r="J52" s="3"/>
      <c r="K52" s="3"/>
      <c r="L52" s="3"/>
      <c r="M52" s="3"/>
      <c r="N52" s="3"/>
      <c r="O52" s="3"/>
      <c r="P52" s="3"/>
      <c r="Q52" s="3"/>
      <c r="R52" s="3"/>
      <c r="S52" s="3"/>
      <c r="T52" s="3"/>
      <c r="U52" s="3"/>
      <c r="V52" s="3"/>
      <c r="W52" s="3"/>
      <c r="X52" s="3"/>
      <c r="Y52" s="3"/>
      <c r="Z52" s="3"/>
      <c r="AA52" s="3"/>
      <c r="AB52" s="3"/>
      <c r="AC52" s="3"/>
      <c r="AD52" s="3"/>
      <c r="AE52" s="3">
        <f t="shared" ref="AE52:AO52" si="117">AE48-AE51</f>
        <v>804</v>
      </c>
      <c r="AF52" s="3">
        <f t="shared" si="117"/>
        <v>303</v>
      </c>
      <c r="AG52" s="3">
        <f t="shared" si="117"/>
        <v>2402</v>
      </c>
      <c r="AH52" s="3">
        <f t="shared" si="117"/>
        <v>4464</v>
      </c>
      <c r="AI52" s="3">
        <f t="shared" si="117"/>
        <v>6661.5499999999993</v>
      </c>
      <c r="AJ52" s="3">
        <f t="shared" si="117"/>
        <v>8433.8274999999976</v>
      </c>
      <c r="AK52" s="3">
        <f t="shared" si="117"/>
        <v>10204.768874999998</v>
      </c>
      <c r="AL52" s="3">
        <f t="shared" si="117"/>
        <v>12873.807318749998</v>
      </c>
      <c r="AM52" s="3">
        <f t="shared" si="117"/>
        <v>16215.997684687496</v>
      </c>
      <c r="AN52" s="3">
        <f t="shared" si="117"/>
        <v>20399.922568921873</v>
      </c>
      <c r="AO52" s="3">
        <f t="shared" si="117"/>
        <v>25636.324947367964</v>
      </c>
    </row>
    <row r="53" spans="2:41" x14ac:dyDescent="0.2">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2:41" x14ac:dyDescent="0.2">
      <c r="B54" s="1" t="s">
        <v>45</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7">
        <v>5.8312999999999997E-2</v>
      </c>
    </row>
    <row r="55" spans="2:41" x14ac:dyDescent="0.2">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8">
        <f>+AH18/AH54</f>
        <v>13136.007408296608</v>
      </c>
    </row>
    <row r="56" spans="2:41" x14ac:dyDescent="0.2">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8"/>
    </row>
    <row r="57" spans="2:41" x14ac:dyDescent="0.2">
      <c r="B57" s="1" t="s">
        <v>76</v>
      </c>
      <c r="C57" s="3"/>
      <c r="D57" s="3"/>
      <c r="E57" s="3"/>
      <c r="F57" s="3"/>
      <c r="G57" s="3"/>
      <c r="H57" s="3"/>
      <c r="I57" s="3"/>
      <c r="J57" s="3"/>
      <c r="K57" s="3"/>
      <c r="L57" s="3"/>
      <c r="M57" s="3">
        <f>2162+1316+4511+1226-2250-3103</f>
        <v>3862</v>
      </c>
      <c r="N57" s="3"/>
      <c r="O57" s="3"/>
      <c r="P57" s="3"/>
      <c r="Q57" s="3"/>
      <c r="R57" s="3"/>
      <c r="S57" s="3"/>
      <c r="T57" s="3"/>
      <c r="U57" s="3"/>
      <c r="V57" s="3"/>
      <c r="W57" s="3"/>
      <c r="X57" s="3"/>
      <c r="Y57" s="3"/>
      <c r="Z57" s="3"/>
      <c r="AA57" s="3"/>
      <c r="AB57" s="3"/>
      <c r="AC57" s="3"/>
      <c r="AD57" s="3"/>
      <c r="AE57" s="3"/>
      <c r="AF57" s="3"/>
      <c r="AG57" s="3">
        <f t="shared" ref="AG57" si="118">+AG58+AG59-AG77</f>
        <v>1266</v>
      </c>
      <c r="AH57" s="3">
        <f>+AH58+AH59-AH77</f>
        <v>2995</v>
      </c>
      <c r="AI57" s="3">
        <f>+AH57+AI25</f>
        <v>5088</v>
      </c>
      <c r="AJ57" s="3">
        <f t="shared" ref="AJ57:AO57" si="119">+AI57+AJ25</f>
        <v>8987.9893280000015</v>
      </c>
      <c r="AK57" s="3">
        <f t="shared" si="119"/>
        <v>15214.140279808002</v>
      </c>
      <c r="AL57" s="3">
        <f t="shared" si="119"/>
        <v>23357.473690731091</v>
      </c>
      <c r="AM57" s="3">
        <f t="shared" si="119"/>
        <v>34789.456505628608</v>
      </c>
      <c r="AN57" s="3">
        <f t="shared" si="119"/>
        <v>48842.751489963994</v>
      </c>
      <c r="AO57" s="3">
        <f t="shared" si="119"/>
        <v>65986.140003762004</v>
      </c>
    </row>
    <row r="58" spans="2:41" x14ac:dyDescent="0.2">
      <c r="B58" s="1" t="s">
        <v>4</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f>1910+2339+322</f>
        <v>4571</v>
      </c>
      <c r="AH58" s="3">
        <f>2556+3480+162</f>
        <v>6198</v>
      </c>
    </row>
    <row r="59" spans="2:41" x14ac:dyDescent="0.2">
      <c r="B59" s="1" t="s">
        <v>48</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v>1453</v>
      </c>
      <c r="AH59" s="3">
        <v>1292</v>
      </c>
    </row>
    <row r="60" spans="2:41" x14ac:dyDescent="0.2">
      <c r="B60" s="1" t="s">
        <v>49</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v>130</v>
      </c>
      <c r="AH60" s="3">
        <v>156</v>
      </c>
    </row>
    <row r="61" spans="2:41" x14ac:dyDescent="0.2">
      <c r="B61" s="1" t="s">
        <v>50</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v>2946</v>
      </c>
      <c r="AH61" s="3">
        <v>3632</v>
      </c>
    </row>
    <row r="62" spans="2:41" x14ac:dyDescent="0.2">
      <c r="B62" s="1" t="s">
        <v>51</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f>1704+32</f>
        <v>1736</v>
      </c>
      <c r="AH62" s="3">
        <f>2629+65</f>
        <v>2694</v>
      </c>
    </row>
    <row r="63" spans="2:41" x14ac:dyDescent="0.2">
      <c r="B63" s="1" t="s">
        <v>52</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v>152</v>
      </c>
      <c r="AH63" s="3">
        <v>238</v>
      </c>
    </row>
    <row r="64" spans="2:41" x14ac:dyDescent="0.2">
      <c r="B64" s="1" t="s">
        <v>53</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v>15</v>
      </c>
      <c r="AH64" s="3">
        <v>34</v>
      </c>
    </row>
    <row r="65" spans="2:34" x14ac:dyDescent="0.2">
      <c r="B65" s="1" t="s">
        <v>54</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v>993</v>
      </c>
      <c r="AH65" s="3">
        <v>1250</v>
      </c>
    </row>
    <row r="66" spans="2:34" x14ac:dyDescent="0.2">
      <c r="B66" s="1" t="s">
        <v>55</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v>656</v>
      </c>
      <c r="AH66" s="3">
        <v>899</v>
      </c>
    </row>
    <row r="67" spans="2:34" x14ac:dyDescent="0.2">
      <c r="B67" s="1" t="s">
        <v>56</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f>153+25</f>
        <v>178</v>
      </c>
      <c r="AH67" s="3">
        <f>163+11+24</f>
        <v>198</v>
      </c>
    </row>
    <row r="68" spans="2:34" x14ac:dyDescent="0.2">
      <c r="B68" s="1" t="s">
        <v>57</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v>346</v>
      </c>
      <c r="AH68" s="3">
        <v>710</v>
      </c>
    </row>
    <row r="69" spans="2:34" x14ac:dyDescent="0.2">
      <c r="B69" s="1" t="s">
        <v>58</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f>256+304</f>
        <v>560</v>
      </c>
      <c r="AH69" s="3">
        <f>277+68</f>
        <v>345</v>
      </c>
    </row>
    <row r="70" spans="2:34" x14ac:dyDescent="0.2">
      <c r="B70" s="2" t="s">
        <v>59</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5">
        <f t="shared" ref="AG70" si="120">SUM(AG58:AG69)</f>
        <v>13736</v>
      </c>
      <c r="AH70" s="5">
        <f>SUM(AH58:AH69)</f>
        <v>17646</v>
      </c>
    </row>
    <row r="71" spans="2:34" x14ac:dyDescent="0.2">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2:34" x14ac:dyDescent="0.2">
      <c r="B72" s="1" t="s">
        <v>60</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v>1393</v>
      </c>
      <c r="AH72" s="3">
        <f>2117+20</f>
        <v>2137</v>
      </c>
    </row>
    <row r="73" spans="2:34" x14ac:dyDescent="0.2">
      <c r="B73" s="1" t="s">
        <v>61</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v>3454</v>
      </c>
      <c r="AH73" s="3">
        <v>4475</v>
      </c>
    </row>
    <row r="74" spans="2:34" x14ac:dyDescent="0.2">
      <c r="B74" s="1" t="s">
        <v>62</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f>483+5</f>
        <v>488</v>
      </c>
      <c r="AH74" s="3">
        <v>1072</v>
      </c>
    </row>
    <row r="75" spans="2:34" x14ac:dyDescent="0.2">
      <c r="B75" s="1" t="s">
        <v>63</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v>401</v>
      </c>
      <c r="AH75" s="3">
        <v>545</v>
      </c>
    </row>
    <row r="76" spans="2:34" x14ac:dyDescent="0.2">
      <c r="B76" s="1" t="s">
        <v>64</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v>414</v>
      </c>
      <c r="AH76" s="3">
        <v>477</v>
      </c>
    </row>
    <row r="77" spans="2:34" x14ac:dyDescent="0.2">
      <c r="B77" s="1" t="s">
        <v>65</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f>2131+2627</f>
        <v>4758</v>
      </c>
      <c r="AH77" s="3">
        <f>2292+2203</f>
        <v>4495</v>
      </c>
    </row>
    <row r="78" spans="2:34" x14ac:dyDescent="0.2">
      <c r="B78" s="1" t="s">
        <v>66</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f>142+514</f>
        <v>656</v>
      </c>
      <c r="AH78" s="3">
        <f>166+672</f>
        <v>838</v>
      </c>
    </row>
    <row r="79" spans="2:34" x14ac:dyDescent="0.2">
      <c r="B79" s="1" t="s">
        <v>67</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v>15</v>
      </c>
      <c r="AH79" s="3">
        <v>34</v>
      </c>
    </row>
    <row r="80" spans="2:34" x14ac:dyDescent="0.2">
      <c r="B80" s="1" t="s">
        <v>68</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v>106</v>
      </c>
      <c r="AH80" s="3">
        <v>183</v>
      </c>
    </row>
    <row r="81" spans="2:41" x14ac:dyDescent="0.2">
      <c r="B81" s="1" t="s">
        <v>69</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f>95+129</f>
        <v>224</v>
      </c>
      <c r="AH81" s="3">
        <f>200+119</f>
        <v>319</v>
      </c>
    </row>
    <row r="82" spans="2:41" x14ac:dyDescent="0.2">
      <c r="B82" s="2" t="s">
        <v>70</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5">
        <f t="shared" ref="AG82" si="121">SUM(AG72:AG81)</f>
        <v>11909</v>
      </c>
      <c r="AH82" s="5">
        <f>SUM(AH72:AH81)</f>
        <v>14575</v>
      </c>
    </row>
    <row r="83" spans="2:41" x14ac:dyDescent="0.2">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2:41" x14ac:dyDescent="0.2">
      <c r="B84" s="2" t="s">
        <v>71</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5">
        <f t="shared" ref="AG84" si="122">AG70-AG82</f>
        <v>1827</v>
      </c>
      <c r="AH84" s="5">
        <f>AH70-AH82</f>
        <v>3071</v>
      </c>
    </row>
    <row r="86" spans="2:41" x14ac:dyDescent="0.2">
      <c r="B86" s="2" t="s">
        <v>72</v>
      </c>
      <c r="AG86" s="4">
        <f t="shared" ref="AG86" si="123">AG46/(AG63+AG65)</f>
        <v>2.5676855895196509</v>
      </c>
      <c r="AH86" s="4">
        <f>AH46/(AH63+AH65)</f>
        <v>3.454301075268817</v>
      </c>
    </row>
    <row r="88" spans="2:41" x14ac:dyDescent="0.2">
      <c r="B88" s="1" t="s">
        <v>89</v>
      </c>
      <c r="AF88" s="4">
        <f>+(AF20-AE20)/(AF12-AE12)</f>
        <v>0.10113085621970921</v>
      </c>
      <c r="AG88" s="4">
        <f t="shared" ref="AG88:AO88" si="124">+(AG20-AF20)/(AG12-AF12)</f>
        <v>0.1709919261822376</v>
      </c>
      <c r="AH88" s="4">
        <f t="shared" si="124"/>
        <v>0.20045731707317074</v>
      </c>
      <c r="AI88" s="4">
        <f t="shared" si="124"/>
        <v>0.12817258883248731</v>
      </c>
      <c r="AJ88" s="4">
        <f t="shared" si="124"/>
        <v>0.35106813556738575</v>
      </c>
      <c r="AK88" s="4">
        <f t="shared" si="124"/>
        <v>0.37554739638969237</v>
      </c>
      <c r="AL88" s="4">
        <f t="shared" si="124"/>
        <v>0.24479052243877275</v>
      </c>
      <c r="AM88" s="4">
        <f t="shared" si="124"/>
        <v>0.38838382133615568</v>
      </c>
      <c r="AN88" s="4">
        <f t="shared" si="124"/>
        <v>0.255</v>
      </c>
      <c r="AO88" s="4">
        <f t="shared" si="124"/>
        <v>0.25499999999999995</v>
      </c>
    </row>
    <row r="91" spans="2:41" x14ac:dyDescent="0.2">
      <c r="B91" s="1" t="s">
        <v>99</v>
      </c>
      <c r="I91" s="1">
        <v>50.3</v>
      </c>
      <c r="J91" s="1">
        <v>54.4</v>
      </c>
      <c r="K91" s="1">
        <v>53.5</v>
      </c>
      <c r="L91" s="1">
        <v>56.6</v>
      </c>
      <c r="M91" s="1">
        <v>60.8</v>
      </c>
    </row>
    <row r="92" spans="2:41" x14ac:dyDescent="0.2">
      <c r="L92" s="4"/>
      <c r="M92" s="4">
        <f>+M91/I91-1</f>
        <v>0.20874751491053689</v>
      </c>
    </row>
    <row r="93" spans="2:41" x14ac:dyDescent="0.2">
      <c r="B93" s="1" t="s">
        <v>94</v>
      </c>
      <c r="I93" s="1">
        <v>41.5</v>
      </c>
      <c r="J93" s="1">
        <v>45.8</v>
      </c>
      <c r="K93" s="1">
        <v>49</v>
      </c>
      <c r="L93" s="1">
        <v>52</v>
      </c>
      <c r="M93" s="1">
        <v>56.2</v>
      </c>
    </row>
    <row r="94" spans="2:41" x14ac:dyDescent="0.2">
      <c r="L94" s="4"/>
      <c r="M94" s="4">
        <f>+M93/I93-1</f>
        <v>0.35421686746987957</v>
      </c>
    </row>
    <row r="95" spans="2:41" x14ac:dyDescent="0.2">
      <c r="B95" s="1" t="s">
        <v>98</v>
      </c>
      <c r="C95" s="3"/>
      <c r="D95" s="3"/>
      <c r="E95" s="3"/>
      <c r="F95" s="3"/>
      <c r="G95" s="3"/>
      <c r="H95" s="3"/>
      <c r="I95" s="3">
        <v>3402</v>
      </c>
      <c r="J95" s="3">
        <v>3778</v>
      </c>
      <c r="K95" s="3">
        <v>4448</v>
      </c>
      <c r="L95" s="3">
        <v>4904</v>
      </c>
      <c r="M95" s="3">
        <v>6016</v>
      </c>
    </row>
    <row r="96" spans="2:41" x14ac:dyDescent="0.2">
      <c r="M96" s="4">
        <f>+M95/I95-1</f>
        <v>0.7683715461493239</v>
      </c>
    </row>
    <row r="97" spans="2:13" x14ac:dyDescent="0.2">
      <c r="B97" s="1" t="s">
        <v>100</v>
      </c>
      <c r="I97" s="11">
        <v>0.374</v>
      </c>
      <c r="J97" s="11">
        <v>0.39800000000000002</v>
      </c>
      <c r="K97" s="11">
        <v>0.315</v>
      </c>
      <c r="L97" s="11">
        <v>0.311</v>
      </c>
      <c r="M97" s="11">
        <v>0.24199999999999999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2024-02-20T17:03:10Z</dcterms:created>
  <dcterms:modified xsi:type="dcterms:W3CDTF">2025-03-23T18:41:57Z</dcterms:modified>
</cp:coreProperties>
</file>