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Models/"/>
    </mc:Choice>
  </mc:AlternateContent>
  <xr:revisionPtr revIDLastSave="85" documentId="8_{F42BBC88-6B55-42A8-B2F6-9ECDDE300042}" xr6:coauthVersionLast="47" xr6:coauthVersionMax="47" xr10:uidLastSave="{C10D80F3-D230-434E-931E-2CD5729EFE29}"/>
  <bookViews>
    <workbookView xWindow="-120" yWindow="-120" windowWidth="29040" windowHeight="15720" xr2:uid="{E2D1227B-19A1-48C7-82FB-493E33B70F3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3" i="2" l="1"/>
  <c r="Q17" i="2"/>
  <c r="Q2" i="2"/>
  <c r="Q27" i="2" s="1"/>
  <c r="P2" i="2"/>
  <c r="P27" i="2" s="1"/>
  <c r="Q22" i="2"/>
  <c r="Q23" i="2" s="1"/>
  <c r="P22" i="2"/>
  <c r="P23" i="2" s="1"/>
  <c r="O22" i="2"/>
  <c r="O23" i="2" s="1"/>
  <c r="N22" i="2"/>
  <c r="N23" i="2" s="1"/>
  <c r="M23" i="2"/>
  <c r="O27" i="2"/>
  <c r="N27" i="2"/>
  <c r="Q26" i="2"/>
  <c r="P26" i="2"/>
  <c r="O26" i="2"/>
  <c r="N26" i="2"/>
  <c r="R1" i="2"/>
  <c r="S1" i="2" s="1"/>
  <c r="T1" i="2" s="1"/>
  <c r="U1" i="2" s="1"/>
  <c r="V1" i="2" s="1"/>
  <c r="W1" i="2" s="1"/>
  <c r="X1" i="2" s="1"/>
  <c r="Q1" i="2"/>
  <c r="K2" i="2"/>
  <c r="B22" i="2"/>
  <c r="B23" i="2" s="1"/>
  <c r="F22" i="2"/>
  <c r="F23" i="2" s="1"/>
  <c r="C23" i="2"/>
  <c r="C22" i="2"/>
  <c r="G22" i="2"/>
  <c r="G23" i="2" s="1"/>
  <c r="E23" i="2"/>
  <c r="E22" i="2"/>
  <c r="D22" i="2"/>
  <c r="D23" i="2" s="1"/>
  <c r="H22" i="2"/>
  <c r="H23" i="2" s="1"/>
  <c r="I22" i="2"/>
  <c r="I18" i="2"/>
  <c r="H17" i="2"/>
  <c r="G17" i="2"/>
  <c r="F17" i="2"/>
  <c r="I17" i="2"/>
  <c r="H4" i="2"/>
  <c r="H18" i="2" s="1"/>
  <c r="G4" i="2"/>
  <c r="F4" i="2"/>
  <c r="F18" i="2" s="1"/>
  <c r="E4" i="2"/>
  <c r="E18" i="2" s="1"/>
  <c r="D4" i="2"/>
  <c r="D18" i="2" s="1"/>
  <c r="C4" i="2"/>
  <c r="B4" i="2"/>
  <c r="B18" i="2" s="1"/>
  <c r="H8" i="2"/>
  <c r="G8" i="2"/>
  <c r="F8" i="2"/>
  <c r="E8" i="2"/>
  <c r="D8" i="2"/>
  <c r="C8" i="2"/>
  <c r="B8" i="2"/>
  <c r="I8" i="2"/>
  <c r="I4" i="2"/>
  <c r="I9" i="2" s="1"/>
  <c r="B2" i="1" a="1"/>
  <c r="B2" i="1" s="1"/>
  <c r="B4" i="1" s="1"/>
  <c r="B7" i="1" s="1"/>
  <c r="F9" i="2" l="1"/>
  <c r="F11" i="2" s="1"/>
  <c r="F13" i="2" s="1"/>
  <c r="F15" i="2" s="1"/>
  <c r="C9" i="2"/>
  <c r="C11" i="2" s="1"/>
  <c r="C13" i="2" s="1"/>
  <c r="C15" i="2" s="1"/>
  <c r="I11" i="2"/>
  <c r="I13" i="2" s="1"/>
  <c r="I15" i="2" s="1"/>
  <c r="I19" i="2"/>
  <c r="C18" i="2"/>
  <c r="B9" i="2"/>
  <c r="G9" i="2"/>
  <c r="G18" i="2"/>
  <c r="E9" i="2"/>
  <c r="H9" i="2"/>
  <c r="D9" i="2"/>
  <c r="F19" i="2" l="1"/>
  <c r="C19" i="2"/>
  <c r="B11" i="2"/>
  <c r="B13" i="2" s="1"/>
  <c r="B15" i="2" s="1"/>
  <c r="B19" i="2"/>
  <c r="G11" i="2"/>
  <c r="G13" i="2" s="1"/>
  <c r="G15" i="2" s="1"/>
  <c r="G19" i="2"/>
  <c r="E11" i="2"/>
  <c r="E13" i="2" s="1"/>
  <c r="E15" i="2" s="1"/>
  <c r="E19" i="2"/>
  <c r="D11" i="2"/>
  <c r="D13" i="2" s="1"/>
  <c r="D15" i="2" s="1"/>
  <c r="D19" i="2"/>
  <c r="H11" i="2"/>
  <c r="H13" i="2" s="1"/>
  <c r="H15" i="2" s="1"/>
  <c r="H19"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<sst xmlns="http://schemas.openxmlformats.org/spreadsheetml/2006/main" count="38" uniqueCount="38">
  <si>
    <t>ticket</t>
  </si>
  <si>
    <t>price</t>
  </si>
  <si>
    <t>shares</t>
  </si>
  <si>
    <t>mc</t>
  </si>
  <si>
    <t>cash</t>
  </si>
  <si>
    <t>debt</t>
  </si>
  <si>
    <t>ev</t>
  </si>
  <si>
    <t>Q1 2022</t>
  </si>
  <si>
    <t>Q2 2022</t>
  </si>
  <si>
    <t>Q3 2022</t>
  </si>
  <si>
    <t>Q4 2022</t>
  </si>
  <si>
    <t>Q1 2023</t>
  </si>
  <si>
    <t>Q2 2023</t>
  </si>
  <si>
    <t>Q3 2023</t>
  </si>
  <si>
    <t>Q4 2023</t>
  </si>
  <si>
    <t>Revenue</t>
  </si>
  <si>
    <t>COGS</t>
  </si>
  <si>
    <t>Gross Profit</t>
  </si>
  <si>
    <t>R&amp;D</t>
  </si>
  <si>
    <t>S&amp;M</t>
  </si>
  <si>
    <t>G&amp;A</t>
  </si>
  <si>
    <t>Total Opex</t>
  </si>
  <si>
    <t>Operating Income</t>
  </si>
  <si>
    <t>Net Interest</t>
  </si>
  <si>
    <t>Pretax Income</t>
  </si>
  <si>
    <t>Taxes</t>
  </si>
  <si>
    <t>Net Income</t>
  </si>
  <si>
    <t>Shares</t>
  </si>
  <si>
    <t>EPS</t>
  </si>
  <si>
    <t>Revenue Y/Y</t>
  </si>
  <si>
    <t>Gross Margin</t>
  </si>
  <si>
    <t>Operating Margin</t>
  </si>
  <si>
    <t>CFFO</t>
  </si>
  <si>
    <t>CAPEX</t>
  </si>
  <si>
    <t>FCF</t>
  </si>
  <si>
    <t>costumers</t>
  </si>
  <si>
    <t>costumers growth</t>
  </si>
  <si>
    <t>Revenue per costumer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</si>
</sst>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_-[$$-409]* #,##0.00_ ;_-[$$-409]* \-#,##0.00\ ;_-[$$-409]* &quot;-&quot;??_ ;_-@_ "/>
  </numFmts>
  <fonts count="4" x14ac:knownFonts="1">
    <font>
      <sz val="11"/>
      <color theme="1"/>
      <name val="Aptos Narrow"/>
      <family val="2"/>
      <scheme val="minor"/>
    </font>
    <font>
      <sz val="11"/>
      <color theme="1"/>
      <name val="Aptos Narrow"/>
      <family val="2"/>
      <scheme val="minor"/>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164" fontId="0" fillId="0" borderId="0" xfId="0" applyNumberFormat="1"/>
    <xf numFmtId="165" fontId="0" fillId="0" borderId="0" xfId="0" applyNumberFormat="1"/>
    <xf numFmtId="0" fontId="2" fillId="0" borderId="0" xfId="0" applyFont="1"/>
    <xf numFmtId="0" fontId="3" fillId="0" borderId="0" xfId="0" applyFont="1"/>
    <xf numFmtId="3" fontId="2" fillId="0" borderId="0" xfId="0" applyNumberFormat="1" applyFont="1"/>
    <xf numFmtId="3" fontId="3" fillId="0" borderId="0" xfId="0" applyNumberFormat="1" applyFont="1"/>
    <xf numFmtId="165" fontId="2" fillId="0" borderId="0" xfId="0" applyNumberFormat="1" applyFont="1"/>
    <xf numFmtId="9" fontId="2" fillId="0" borderId="0" xfId="0" applyNumberFormat="1" applyFont="1"/>
    <xf numFmtId="10" fontId="2"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https://www.bing.com/financeapi/forcetrigger?t=c27jhw&amp;q=XNAS%3aMNDY&amp;form=skydnc</v>
    <v>Learn more on Bing</v>
  </rv>
  <rv s="1">
    <v>en-GB</v>
    <v>c27jhw</v>
    <v>268435456</v>
    <v>1</v>
    <v>Powered by Refinitiv</v>
    <v>0</v>
    <v>MONDAY.COM LTD (XNAS:MNDY)</v>
    <v>2</v>
    <v>3</v>
    <v>Finance</v>
    <v>4</v>
    <v>321.3</v>
    <v>133.19999999999999</v>
    <v>1.3027</v>
    <v>5.27</v>
    <v>1.6676E-2</v>
    <v>USD</v>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v>1854</v>
    <v>Nasdaq Stock Market</v>
    <v>XNAS</v>
    <v>XNAS</v>
    <v>6 Yitzhak Sadeh Street, TEL AVIV-YAFO, 677750 IL</v>
    <v>321.3</v>
    <v>Software &amp; IT Services</v>
    <v>Stock</v>
    <v>45603.677943911716</v>
    <v>0</v>
    <v>312.79000000000002</v>
    <v>16041477627</v>
    <v>MONDAY.COM LTD</v>
    <v>MONDAY.COM LTD</v>
    <v>316.02999999999997</v>
    <v>390.83600000000001</v>
    <v>316.02999999999997</v>
    <v>321.3</v>
    <v>49926790</v>
    <v>MNDY</v>
    <v>MONDAY.COM LTD (XNAS:MNDY)</v>
    <v>166082</v>
    <v>386281</v>
    <v>2012</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1" formatCode="0"/>
    </x:dxf>
    <x:dxf>
      <x:numFmt numFmtId="4" formatCode="#,##0.00"/>
    </x:dxf>
  </dxfs>
  <richProperties>
    <rPr n="NumberFormat" t="s"/>
    <rPr n="IsTitleField" t="b"/>
  </richProperties>
  <richStyles>
    <rSty dxfid="1">
      <rpv i="0">_([$$-en-US]* #,##0.00_);_([$$-en-US]* (#,##0.00);_([$$-en-US]* "-"??_);_(@_)</rpv>
    </rSty>
    <rSty dxfid="6">
      <rpv i="0">#,##0.00</rpv>
    </rSty>
    <rSty>
      <rpv i="1">1</rpv>
    </rSty>
    <rSty dxfid="4">
      <rpv i="0">#,##0</rpv>
    </rSty>
    <rSty dxfid="3"/>
    <rSty dxfid="1">
      <rpv i="0">_([$$-en-US]* #,##0_);_([$$-en-US]* (#,##0);_([$$-en-US]* "-"_);_(@_)</rpv>
    </rSty>
    <rSty dxfid="2"/>
    <rSty dxfid="5">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E3609-663A-40FA-BC39-785F01CAE50B}">
  <dimension ref="A1:B7"/>
  <sheetViews>
    <sheetView tabSelected="1" workbookViewId="0">
      <selection activeCell="C11" sqref="C11"/>
    </sheetView>
  </sheetViews>
  <sheetFormatPr defaultRowHeight="15" x14ac:dyDescent="0.25"/>
  <cols>
    <col min="2" max="2" width="12.140625" bestFit="1" customWidth="1"/>
  </cols>
  <sheetData>
    <row r="1" spans="1:2" x14ac:dyDescent="0.25">
      <c r="A1" t="s">
        <v>0</v>
      </c>
      <c r="B1" t="e" vm="1">
        <v>#VALUE!</v>
      </c>
    </row>
    <row r="2" spans="1:2" x14ac:dyDescent="0.25">
      <c r="A2" t="s">
        <v>1</v>
      </c>
      <c r="B2" s="1" cm="1">
        <f t="array" aca="1" ref="B2" ca="1">_FV(B1,"Price")</f>
        <v>321.3</v>
      </c>
    </row>
    <row r="3" spans="1:2" x14ac:dyDescent="0.25">
      <c r="A3" t="s">
        <v>2</v>
      </c>
      <c r="B3">
        <v>48.795999999999999</v>
      </c>
    </row>
    <row r="4" spans="1:2" x14ac:dyDescent="0.25">
      <c r="A4" t="s">
        <v>3</v>
      </c>
      <c r="B4" s="2">
        <f ca="1">B2*B3</f>
        <v>15678.1548</v>
      </c>
    </row>
    <row r="5" spans="1:2" x14ac:dyDescent="0.25">
      <c r="A5" t="s">
        <v>4</v>
      </c>
      <c r="B5">
        <v>1116.1279999999999</v>
      </c>
    </row>
    <row r="6" spans="1:2" x14ac:dyDescent="0.25">
      <c r="A6" t="s">
        <v>5</v>
      </c>
      <c r="B6">
        <v>0</v>
      </c>
    </row>
    <row r="7" spans="1:2" x14ac:dyDescent="0.25">
      <c r="A7" t="s">
        <v>6</v>
      </c>
      <c r="B7" s="2">
        <f ca="1">B4-B5+B6</f>
        <v>14562.0268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AECF2-B9D5-4460-8D59-BBAB078DBBEE}">
  <dimension ref="A1:X27"/>
  <sheetViews>
    <sheetView zoomScale="90" zoomScaleNormal="90" workbookViewId="0">
      <selection activeCell="B2" sqref="B2:I13"/>
    </sheetView>
  </sheetViews>
  <sheetFormatPr defaultRowHeight="12.75" x14ac:dyDescent="0.2"/>
  <cols>
    <col min="1" max="1" width="16.85546875" style="3" bestFit="1" customWidth="1"/>
    <col min="2" max="9" width="9.28515625" style="3" bestFit="1" customWidth="1"/>
    <col min="10" max="10" width="9.140625" style="3"/>
    <col min="11" max="11" width="9.28515625" style="3" bestFit="1" customWidth="1"/>
    <col min="12" max="12" width="9.140625" style="3"/>
    <col min="13" max="13" width="9.28515625" style="3" bestFit="1" customWidth="1"/>
    <col min="14" max="15" width="10.28515625" style="3" bestFit="1" customWidth="1"/>
    <col min="16" max="17" width="11.42578125" style="3" bestFit="1" customWidth="1"/>
    <col min="18" max="24" width="9.28515625" style="3" bestFit="1" customWidth="1"/>
    <col min="25" max="16384" width="9.140625" style="3"/>
  </cols>
  <sheetData>
    <row r="1" spans="1:24" x14ac:dyDescent="0.2">
      <c r="B1" s="4" t="s">
        <v>7</v>
      </c>
      <c r="C1" s="4" t="s">
        <v>8</v>
      </c>
      <c r="D1" s="4" t="s">
        <v>9</v>
      </c>
      <c r="E1" s="4" t="s">
        <v>10</v>
      </c>
      <c r="F1" s="4" t="s">
        <v>11</v>
      </c>
      <c r="G1" s="4" t="s">
        <v>12</v>
      </c>
      <c r="H1" s="4" t="s">
        <v>13</v>
      </c>
      <c r="I1" s="4" t="s">
        <v>14</v>
      </c>
      <c r="M1" s="3">
        <v>2019</v>
      </c>
      <c r="N1" s="3">
        <v>2020</v>
      </c>
      <c r="O1" s="3">
        <v>2021</v>
      </c>
      <c r="P1" s="3">
        <v>2022</v>
      </c>
      <c r="Q1" s="3">
        <f>P1+1</f>
        <v>2023</v>
      </c>
      <c r="R1" s="3">
        <f t="shared" ref="R1:X1" si="0">Q1+1</f>
        <v>2024</v>
      </c>
      <c r="S1" s="3">
        <f t="shared" si="0"/>
        <v>2025</v>
      </c>
      <c r="T1" s="3">
        <f t="shared" si="0"/>
        <v>2026</v>
      </c>
      <c r="U1" s="3">
        <f t="shared" si="0"/>
        <v>2027</v>
      </c>
      <c r="V1" s="3">
        <f t="shared" si="0"/>
        <v>2028</v>
      </c>
      <c r="W1" s="3">
        <f t="shared" si="0"/>
        <v>2029</v>
      </c>
      <c r="X1" s="3">
        <f t="shared" si="0"/>
        <v>2030</v>
      </c>
    </row>
    <row r="2" spans="1:24" x14ac:dyDescent="0.2">
      <c r="A2" s="3" t="s">
        <v>15</v>
      </c>
      <c r="B2" s="5">
        <v>108497</v>
      </c>
      <c r="C2" s="5">
        <v>123718</v>
      </c>
      <c r="D2" s="5">
        <v>136893</v>
      </c>
      <c r="E2" s="5">
        <v>149921</v>
      </c>
      <c r="F2" s="5">
        <v>162256</v>
      </c>
      <c r="G2" s="5">
        <v>175679</v>
      </c>
      <c r="H2" s="5">
        <v>189190</v>
      </c>
      <c r="I2" s="5">
        <v>202570</v>
      </c>
      <c r="J2" s="5"/>
      <c r="K2" s="5">
        <f>SUM(F2:I2)</f>
        <v>729695</v>
      </c>
      <c r="L2" s="5"/>
      <c r="M2" s="5"/>
      <c r="N2" s="5"/>
      <c r="O2" s="5"/>
      <c r="P2" s="5">
        <f>+SUM(B2:E2)</f>
        <v>519029</v>
      </c>
      <c r="Q2" s="5">
        <f t="shared" ref="Q2" si="1">+SUM(C2:F2)</f>
        <v>572788</v>
      </c>
      <c r="R2" s="5"/>
      <c r="S2" s="5"/>
      <c r="T2" s="5"/>
      <c r="U2" s="5"/>
      <c r="V2" s="5"/>
      <c r="W2" s="5"/>
      <c r="X2" s="5"/>
    </row>
    <row r="3" spans="1:24" x14ac:dyDescent="0.2">
      <c r="A3" s="3" t="s">
        <v>16</v>
      </c>
      <c r="B3" s="5">
        <v>14609</v>
      </c>
      <c r="C3" s="5">
        <v>16730</v>
      </c>
      <c r="D3" s="5">
        <v>17830</v>
      </c>
      <c r="E3" s="5">
        <v>17359</v>
      </c>
      <c r="F3" s="5">
        <v>17014</v>
      </c>
      <c r="G3" s="5">
        <v>19516</v>
      </c>
      <c r="H3" s="5">
        <v>21707</v>
      </c>
      <c r="I3" s="5">
        <v>22408</v>
      </c>
      <c r="J3" s="5"/>
      <c r="K3" s="5"/>
      <c r="L3" s="5"/>
      <c r="M3" s="5"/>
      <c r="N3" s="5"/>
      <c r="O3" s="5"/>
      <c r="P3" s="5"/>
      <c r="Q3" s="5"/>
      <c r="R3" s="5"/>
      <c r="S3" s="5"/>
      <c r="T3" s="5"/>
      <c r="U3" s="5"/>
      <c r="V3" s="5"/>
      <c r="W3" s="5"/>
      <c r="X3" s="5"/>
    </row>
    <row r="4" spans="1:24" x14ac:dyDescent="0.2">
      <c r="A4" s="4" t="s">
        <v>17</v>
      </c>
      <c r="B4" s="6">
        <f t="shared" ref="B4:H4" si="2">B2-B3</f>
        <v>93888</v>
      </c>
      <c r="C4" s="6">
        <f t="shared" si="2"/>
        <v>106988</v>
      </c>
      <c r="D4" s="6">
        <f t="shared" si="2"/>
        <v>119063</v>
      </c>
      <c r="E4" s="6">
        <f t="shared" si="2"/>
        <v>132562</v>
      </c>
      <c r="F4" s="6">
        <f t="shared" si="2"/>
        <v>145242</v>
      </c>
      <c r="G4" s="6">
        <f t="shared" si="2"/>
        <v>156163</v>
      </c>
      <c r="H4" s="6">
        <f t="shared" si="2"/>
        <v>167483</v>
      </c>
      <c r="I4" s="6">
        <f>I2-I3</f>
        <v>180162</v>
      </c>
      <c r="J4" s="5"/>
      <c r="K4" s="5"/>
      <c r="L4" s="5"/>
      <c r="M4" s="5"/>
      <c r="N4" s="5"/>
      <c r="O4" s="5"/>
      <c r="P4" s="5"/>
      <c r="Q4" s="5"/>
      <c r="R4" s="5"/>
      <c r="S4" s="5"/>
      <c r="T4" s="5"/>
      <c r="U4" s="5"/>
      <c r="V4" s="5"/>
      <c r="W4" s="5"/>
      <c r="X4" s="5"/>
    </row>
    <row r="5" spans="1:24" x14ac:dyDescent="0.2">
      <c r="A5" s="3" t="s">
        <v>18</v>
      </c>
      <c r="B5" s="5">
        <v>26541</v>
      </c>
      <c r="C5" s="5">
        <v>33962</v>
      </c>
      <c r="D5" s="5">
        <v>33984</v>
      </c>
      <c r="E5" s="5">
        <v>32560</v>
      </c>
      <c r="F5" s="5">
        <v>37063</v>
      </c>
      <c r="G5" s="5">
        <v>39106</v>
      </c>
      <c r="H5" s="5">
        <v>38433</v>
      </c>
      <c r="I5" s="5">
        <v>41898</v>
      </c>
      <c r="J5" s="5"/>
      <c r="K5" s="5"/>
      <c r="L5" s="5"/>
      <c r="M5" s="5"/>
      <c r="N5" s="5"/>
      <c r="O5" s="5"/>
      <c r="P5" s="5"/>
      <c r="Q5" s="5"/>
      <c r="R5" s="5"/>
      <c r="S5" s="5"/>
      <c r="T5" s="5"/>
      <c r="U5" s="5"/>
      <c r="V5" s="5"/>
      <c r="W5" s="5"/>
      <c r="X5" s="5"/>
    </row>
    <row r="6" spans="1:24" x14ac:dyDescent="0.2">
      <c r="A6" s="3" t="s">
        <v>19</v>
      </c>
      <c r="B6" s="5">
        <v>115973</v>
      </c>
      <c r="C6" s="5">
        <v>96740</v>
      </c>
      <c r="D6" s="5">
        <v>90970</v>
      </c>
      <c r="E6" s="5">
        <v>88385</v>
      </c>
      <c r="F6" s="5">
        <v>107680</v>
      </c>
      <c r="G6" s="5">
        <v>107443</v>
      </c>
      <c r="H6" s="5">
        <v>108360</v>
      </c>
      <c r="I6" s="5">
        <v>114919</v>
      </c>
      <c r="J6" s="5"/>
      <c r="K6" s="5"/>
      <c r="L6" s="5"/>
      <c r="M6" s="5"/>
      <c r="N6" s="5"/>
      <c r="O6" s="5"/>
      <c r="P6" s="5"/>
      <c r="Q6" s="5"/>
      <c r="R6" s="5"/>
      <c r="S6" s="5"/>
      <c r="T6" s="5"/>
      <c r="U6" s="5"/>
      <c r="V6" s="5"/>
      <c r="W6" s="5"/>
      <c r="X6" s="5"/>
    </row>
    <row r="7" spans="1:24" x14ac:dyDescent="0.2">
      <c r="A7" s="3" t="s">
        <v>20</v>
      </c>
      <c r="B7" s="5">
        <v>18870</v>
      </c>
      <c r="C7" s="5">
        <v>22466</v>
      </c>
      <c r="D7" s="5">
        <v>22348</v>
      </c>
      <c r="E7" s="5">
        <v>21717</v>
      </c>
      <c r="F7" s="5">
        <v>23251</v>
      </c>
      <c r="G7" s="5">
        <v>21781</v>
      </c>
      <c r="H7" s="5">
        <v>23211</v>
      </c>
      <c r="I7" s="5">
        <v>24490</v>
      </c>
      <c r="J7" s="5"/>
      <c r="K7" s="5"/>
      <c r="L7" s="5"/>
      <c r="M7" s="5"/>
      <c r="N7" s="5"/>
      <c r="O7" s="5"/>
      <c r="P7" s="5"/>
      <c r="Q7" s="5"/>
      <c r="R7" s="5"/>
      <c r="S7" s="5"/>
      <c r="T7" s="5"/>
      <c r="U7" s="5"/>
      <c r="V7" s="5"/>
      <c r="W7" s="5"/>
      <c r="X7" s="5"/>
    </row>
    <row r="8" spans="1:24" x14ac:dyDescent="0.2">
      <c r="A8" s="3" t="s">
        <v>21</v>
      </c>
      <c r="B8" s="5">
        <f t="shared" ref="B8:H8" si="3">B5+B6+B7</f>
        <v>161384</v>
      </c>
      <c r="C8" s="5">
        <f t="shared" si="3"/>
        <v>153168</v>
      </c>
      <c r="D8" s="5">
        <f t="shared" si="3"/>
        <v>147302</v>
      </c>
      <c r="E8" s="5">
        <f t="shared" si="3"/>
        <v>142662</v>
      </c>
      <c r="F8" s="5">
        <f t="shared" si="3"/>
        <v>167994</v>
      </c>
      <c r="G8" s="5">
        <f t="shared" si="3"/>
        <v>168330</v>
      </c>
      <c r="H8" s="5">
        <f t="shared" si="3"/>
        <v>170004</v>
      </c>
      <c r="I8" s="5">
        <f>I5+I6+I7</f>
        <v>181307</v>
      </c>
      <c r="J8" s="5"/>
      <c r="K8" s="5"/>
      <c r="L8" s="5"/>
      <c r="M8" s="5"/>
      <c r="N8" s="5"/>
      <c r="O8" s="5"/>
      <c r="P8" s="5"/>
      <c r="Q8" s="5"/>
      <c r="R8" s="5"/>
      <c r="S8" s="5"/>
      <c r="T8" s="5"/>
      <c r="U8" s="5"/>
      <c r="V8" s="5"/>
      <c r="W8" s="5"/>
      <c r="X8" s="5"/>
    </row>
    <row r="9" spans="1:24" x14ac:dyDescent="0.2">
      <c r="A9" s="4" t="s">
        <v>22</v>
      </c>
      <c r="B9" s="6">
        <f t="shared" ref="B9:H9" si="4">B4-B8</f>
        <v>-67496</v>
      </c>
      <c r="C9" s="6">
        <f t="shared" si="4"/>
        <v>-46180</v>
      </c>
      <c r="D9" s="6">
        <f t="shared" si="4"/>
        <v>-28239</v>
      </c>
      <c r="E9" s="6">
        <f t="shared" si="4"/>
        <v>-10100</v>
      </c>
      <c r="F9" s="6">
        <f t="shared" si="4"/>
        <v>-22752</v>
      </c>
      <c r="G9" s="6">
        <f t="shared" si="4"/>
        <v>-12167</v>
      </c>
      <c r="H9" s="6">
        <f t="shared" si="4"/>
        <v>-2521</v>
      </c>
      <c r="I9" s="6">
        <f>I4-I8</f>
        <v>-1145</v>
      </c>
      <c r="J9" s="5"/>
      <c r="K9" s="5"/>
      <c r="L9" s="5"/>
      <c r="M9" s="5"/>
      <c r="N9" s="5"/>
      <c r="O9" s="5"/>
      <c r="P9" s="5"/>
      <c r="Q9" s="5"/>
      <c r="R9" s="5"/>
      <c r="S9" s="5"/>
      <c r="T9" s="5"/>
      <c r="U9" s="5"/>
      <c r="V9" s="5"/>
      <c r="W9" s="5"/>
      <c r="X9" s="5"/>
    </row>
    <row r="10" spans="1:24" x14ac:dyDescent="0.2">
      <c r="A10" s="3" t="s">
        <v>23</v>
      </c>
      <c r="B10" s="5">
        <v>1993</v>
      </c>
      <c r="C10" s="5">
        <v>2452</v>
      </c>
      <c r="D10" s="5">
        <v>6972</v>
      </c>
      <c r="E10" s="5">
        <v>11137</v>
      </c>
      <c r="F10" s="5">
        <v>9883</v>
      </c>
      <c r="G10" s="5">
        <v>7612</v>
      </c>
      <c r="H10" s="5">
        <v>11555</v>
      </c>
      <c r="I10" s="5">
        <v>12861</v>
      </c>
      <c r="J10" s="5"/>
      <c r="K10" s="5"/>
      <c r="L10" s="5"/>
      <c r="M10" s="5"/>
      <c r="N10" s="5"/>
      <c r="O10" s="5"/>
      <c r="P10" s="5"/>
      <c r="Q10" s="5"/>
      <c r="R10" s="5"/>
      <c r="S10" s="5"/>
      <c r="T10" s="5"/>
      <c r="U10" s="5"/>
      <c r="V10" s="5"/>
      <c r="W10" s="5"/>
      <c r="X10" s="5"/>
    </row>
    <row r="11" spans="1:24" x14ac:dyDescent="0.2">
      <c r="A11" s="4" t="s">
        <v>24</v>
      </c>
      <c r="B11" s="6">
        <f t="shared" ref="B11:H11" si="5">B9+B10</f>
        <v>-65503</v>
      </c>
      <c r="C11" s="6">
        <f t="shared" si="5"/>
        <v>-43728</v>
      </c>
      <c r="D11" s="6">
        <f t="shared" si="5"/>
        <v>-21267</v>
      </c>
      <c r="E11" s="6">
        <f t="shared" si="5"/>
        <v>1037</v>
      </c>
      <c r="F11" s="6">
        <f t="shared" si="5"/>
        <v>-12869</v>
      </c>
      <c r="G11" s="6">
        <f t="shared" si="5"/>
        <v>-4555</v>
      </c>
      <c r="H11" s="6">
        <f t="shared" si="5"/>
        <v>9034</v>
      </c>
      <c r="I11" s="6">
        <f>I9+I10</f>
        <v>11716</v>
      </c>
      <c r="J11" s="5"/>
      <c r="K11" s="5"/>
      <c r="L11" s="5"/>
      <c r="M11" s="5"/>
      <c r="N11" s="5"/>
      <c r="O11" s="5"/>
      <c r="P11" s="5"/>
      <c r="Q11" s="5"/>
      <c r="R11" s="5"/>
      <c r="S11" s="5"/>
      <c r="T11" s="5"/>
      <c r="U11" s="5"/>
      <c r="V11" s="5"/>
      <c r="W11" s="5"/>
      <c r="X11" s="5"/>
    </row>
    <row r="12" spans="1:24" x14ac:dyDescent="0.2">
      <c r="A12" s="3" t="s">
        <v>25</v>
      </c>
      <c r="B12" s="5">
        <v>1175</v>
      </c>
      <c r="C12" s="5">
        <v>1943</v>
      </c>
      <c r="D12" s="5">
        <v>1763</v>
      </c>
      <c r="E12" s="5">
        <v>2525</v>
      </c>
      <c r="F12" s="5">
        <v>1798</v>
      </c>
      <c r="G12" s="5">
        <v>2480</v>
      </c>
      <c r="H12" s="5">
        <v>1546</v>
      </c>
      <c r="I12" s="5">
        <v>-621</v>
      </c>
      <c r="J12" s="5"/>
      <c r="K12" s="5"/>
      <c r="L12" s="5"/>
      <c r="M12" s="5"/>
      <c r="N12" s="5"/>
      <c r="O12" s="5"/>
      <c r="P12" s="5"/>
      <c r="Q12" s="5"/>
      <c r="R12" s="5"/>
      <c r="S12" s="5"/>
      <c r="T12" s="5"/>
      <c r="U12" s="5"/>
      <c r="V12" s="5"/>
      <c r="W12" s="5"/>
      <c r="X12" s="5"/>
    </row>
    <row r="13" spans="1:24" x14ac:dyDescent="0.2">
      <c r="A13" s="4" t="s">
        <v>26</v>
      </c>
      <c r="B13" s="6">
        <f t="shared" ref="B13:H13" si="6">B11-B12</f>
        <v>-66678</v>
      </c>
      <c r="C13" s="6">
        <f t="shared" si="6"/>
        <v>-45671</v>
      </c>
      <c r="D13" s="6">
        <f t="shared" si="6"/>
        <v>-23030</v>
      </c>
      <c r="E13" s="6">
        <f t="shared" si="6"/>
        <v>-1488</v>
      </c>
      <c r="F13" s="6">
        <f t="shared" si="6"/>
        <v>-14667</v>
      </c>
      <c r="G13" s="6">
        <f t="shared" si="6"/>
        <v>-7035</v>
      </c>
      <c r="H13" s="6">
        <f t="shared" si="6"/>
        <v>7488</v>
      </c>
      <c r="I13" s="6">
        <f>I11-I12</f>
        <v>12337</v>
      </c>
      <c r="J13" s="5"/>
      <c r="K13" s="5"/>
      <c r="L13" s="5"/>
      <c r="M13" s="5"/>
      <c r="N13" s="5"/>
      <c r="O13" s="5"/>
      <c r="P13" s="5"/>
      <c r="Q13" s="5"/>
      <c r="R13" s="5"/>
      <c r="S13" s="5"/>
      <c r="T13" s="5"/>
      <c r="U13" s="5"/>
      <c r="V13" s="5"/>
      <c r="W13" s="5"/>
      <c r="X13" s="5"/>
    </row>
    <row r="14" spans="1:24" x14ac:dyDescent="0.2">
      <c r="A14" s="3" t="s">
        <v>27</v>
      </c>
      <c r="B14" s="3">
        <v>44978.894</v>
      </c>
      <c r="C14" s="3">
        <v>45074.911999999997</v>
      </c>
      <c r="D14" s="3">
        <v>45477.803999999996</v>
      </c>
      <c r="E14" s="3">
        <v>47659.154000000002</v>
      </c>
      <c r="F14" s="3">
        <v>47912.353000000003</v>
      </c>
      <c r="G14" s="3">
        <v>48209.038999999997</v>
      </c>
      <c r="H14" s="3">
        <v>51461.709000000003</v>
      </c>
      <c r="I14" s="3">
        <v>51607.542000000001</v>
      </c>
    </row>
    <row r="15" spans="1:24" x14ac:dyDescent="0.2">
      <c r="A15" s="3" t="s">
        <v>28</v>
      </c>
      <c r="B15" s="7">
        <f t="shared" ref="B15:H15" si="7">B13/B14</f>
        <v>-1.482428625301458</v>
      </c>
      <c r="C15" s="7">
        <f t="shared" si="7"/>
        <v>-1.0132243852189884</v>
      </c>
      <c r="D15" s="7">
        <f t="shared" si="7"/>
        <v>-0.50640088074613276</v>
      </c>
      <c r="E15" s="7">
        <f t="shared" si="7"/>
        <v>-3.1221704019336976E-2</v>
      </c>
      <c r="F15" s="7">
        <f t="shared" si="7"/>
        <v>-0.30612147142929924</v>
      </c>
      <c r="G15" s="7">
        <f t="shared" si="7"/>
        <v>-0.14592699099436521</v>
      </c>
      <c r="H15" s="7">
        <f t="shared" si="7"/>
        <v>0.14550624426406047</v>
      </c>
      <c r="I15" s="7">
        <f>I13/I14</f>
        <v>0.23905420645687794</v>
      </c>
    </row>
    <row r="17" spans="1:18" x14ac:dyDescent="0.2">
      <c r="A17" s="3" t="s">
        <v>29</v>
      </c>
      <c r="B17" s="8"/>
      <c r="C17" s="8"/>
      <c r="D17" s="8"/>
      <c r="E17" s="8"/>
      <c r="F17" s="8">
        <f t="shared" ref="F17:H17" si="8">F2/B2-1</f>
        <v>0.4954883545167148</v>
      </c>
      <c r="G17" s="8">
        <f t="shared" si="8"/>
        <v>0.41999547357700573</v>
      </c>
      <c r="H17" s="8">
        <f t="shared" si="8"/>
        <v>0.38202829947477235</v>
      </c>
      <c r="I17" s="8">
        <f>I2/E2-1</f>
        <v>0.3511782872312752</v>
      </c>
      <c r="K17" s="8"/>
      <c r="Q17" s="3">
        <f>+Q2/P2-1</f>
        <v>0.10357610075737589</v>
      </c>
    </row>
    <row r="18" spans="1:18" x14ac:dyDescent="0.2">
      <c r="A18" s="3" t="s">
        <v>30</v>
      </c>
      <c r="B18" s="8">
        <f t="shared" ref="B18:H18" si="9">B4/B2</f>
        <v>0.86535111569905154</v>
      </c>
      <c r="C18" s="8">
        <f t="shared" si="9"/>
        <v>0.86477311304741433</v>
      </c>
      <c r="D18" s="8">
        <f t="shared" si="9"/>
        <v>0.86975228828354989</v>
      </c>
      <c r="E18" s="8">
        <f t="shared" si="9"/>
        <v>0.884212351838635</v>
      </c>
      <c r="F18" s="8">
        <f t="shared" si="9"/>
        <v>0.89514101173454297</v>
      </c>
      <c r="G18" s="8">
        <f t="shared" si="9"/>
        <v>0.88891102522213805</v>
      </c>
      <c r="H18" s="8">
        <f t="shared" si="9"/>
        <v>0.88526349172789265</v>
      </c>
      <c r="I18" s="8">
        <f>I4/I2</f>
        <v>0.88938144838821154</v>
      </c>
    </row>
    <row r="19" spans="1:18" x14ac:dyDescent="0.2">
      <c r="A19" s="3" t="s">
        <v>31</v>
      </c>
      <c r="B19" s="8">
        <f t="shared" ref="B19:H19" si="10">B9/B2</f>
        <v>-0.62210015023456866</v>
      </c>
      <c r="C19" s="8">
        <f t="shared" si="10"/>
        <v>-0.37326823905979728</v>
      </c>
      <c r="D19" s="8">
        <f t="shared" si="10"/>
        <v>-0.20628520085029914</v>
      </c>
      <c r="E19" s="8">
        <f t="shared" si="10"/>
        <v>-6.7368814242167535E-2</v>
      </c>
      <c r="F19" s="8">
        <f t="shared" si="10"/>
        <v>-0.1402228577063406</v>
      </c>
      <c r="G19" s="8">
        <f t="shared" si="10"/>
        <v>-6.9256997136823414E-2</v>
      </c>
      <c r="H19" s="8">
        <f t="shared" si="10"/>
        <v>-1.3325228606163116E-2</v>
      </c>
      <c r="I19" s="8">
        <f>I9/I2</f>
        <v>-5.65236708298366E-3</v>
      </c>
    </row>
    <row r="21" spans="1:18" x14ac:dyDescent="0.2">
      <c r="A21" s="3" t="s">
        <v>32</v>
      </c>
      <c r="B21" s="5">
        <v>-12.912000000000001</v>
      </c>
      <c r="C21" s="5">
        <v>-14.061</v>
      </c>
      <c r="D21" s="5">
        <v>20.03</v>
      </c>
      <c r="E21" s="5">
        <v>34.081000000000003</v>
      </c>
      <c r="F21" s="5">
        <v>42.728000000000002</v>
      </c>
      <c r="G21" s="5">
        <v>47.588999999999999</v>
      </c>
      <c r="H21" s="5">
        <v>66.578999999999994</v>
      </c>
      <c r="I21" s="5">
        <v>58.508000000000003</v>
      </c>
      <c r="N21" s="3">
        <v>-37.200000000000003</v>
      </c>
      <c r="O21" s="3">
        <v>16.399999999999999</v>
      </c>
      <c r="P21" s="3">
        <v>27.1</v>
      </c>
      <c r="Q21" s="3">
        <v>215.4</v>
      </c>
    </row>
    <row r="22" spans="1:18" x14ac:dyDescent="0.2">
      <c r="A22" s="3" t="s">
        <v>33</v>
      </c>
      <c r="B22" s="5">
        <f>2.354+0.926</f>
        <v>3.2800000000000002</v>
      </c>
      <c r="C22" s="5">
        <f>4.55+0.684</f>
        <v>5.234</v>
      </c>
      <c r="D22" s="5">
        <f>5.339+0.732</f>
        <v>6.0710000000000006</v>
      </c>
      <c r="E22" s="5">
        <f>3.76+0.656</f>
        <v>4.4159999999999995</v>
      </c>
      <c r="F22" s="5">
        <f>3.561+0.485</f>
        <v>4.0460000000000003</v>
      </c>
      <c r="G22" s="5">
        <f>1.123+0.534</f>
        <v>1.657</v>
      </c>
      <c r="H22" s="5">
        <f>0.779+0.91</f>
        <v>1.6890000000000001</v>
      </c>
      <c r="I22" s="5">
        <f>2.438+0.629</f>
        <v>3.0670000000000002</v>
      </c>
      <c r="N22" s="3">
        <f>4.4+1.1-2</f>
        <v>3.5</v>
      </c>
      <c r="O22" s="3">
        <f>11.6+2.2-7.3</f>
        <v>6.5000000000000009</v>
      </c>
      <c r="P22" s="3">
        <f>16+3</f>
        <v>19</v>
      </c>
      <c r="Q22" s="3">
        <f>7.9+2.6</f>
        <v>10.5</v>
      </c>
    </row>
    <row r="23" spans="1:18" x14ac:dyDescent="0.2">
      <c r="A23" s="4" t="s">
        <v>34</v>
      </c>
      <c r="B23" s="6">
        <f t="shared" ref="B23:H23" si="11">B21-B22</f>
        <v>-16.192</v>
      </c>
      <c r="C23" s="6">
        <f>C21-C22</f>
        <v>-19.295000000000002</v>
      </c>
      <c r="D23" s="6">
        <f t="shared" si="11"/>
        <v>13.959</v>
      </c>
      <c r="E23" s="6">
        <f>E21-E22</f>
        <v>29.665000000000003</v>
      </c>
      <c r="F23" s="6">
        <f t="shared" si="11"/>
        <v>38.682000000000002</v>
      </c>
      <c r="G23" s="6">
        <f t="shared" si="11"/>
        <v>45.932000000000002</v>
      </c>
      <c r="H23" s="6">
        <f t="shared" si="11"/>
        <v>64.889999999999986</v>
      </c>
      <c r="I23" s="6">
        <f>I21-I22</f>
        <v>55.441000000000003</v>
      </c>
      <c r="M23" s="4">
        <f t="shared" ref="M23:Q23" si="12">M21-M22</f>
        <v>0</v>
      </c>
      <c r="N23" s="4">
        <f t="shared" si="12"/>
        <v>-40.700000000000003</v>
      </c>
      <c r="O23" s="4">
        <f t="shared" si="12"/>
        <v>9.8999999999999986</v>
      </c>
      <c r="P23" s="4">
        <f t="shared" si="12"/>
        <v>8.1000000000000014</v>
      </c>
      <c r="Q23" s="4">
        <f t="shared" si="12"/>
        <v>204.9</v>
      </c>
    </row>
    <row r="25" spans="1:18" x14ac:dyDescent="0.2">
      <c r="A25" s="3" t="s">
        <v>35</v>
      </c>
      <c r="J25" s="9"/>
      <c r="M25" s="3">
        <v>90</v>
      </c>
      <c r="N25" s="3">
        <v>114</v>
      </c>
      <c r="O25" s="3">
        <v>152</v>
      </c>
      <c r="P25" s="3">
        <v>186</v>
      </c>
      <c r="Q25" s="3">
        <v>225</v>
      </c>
    </row>
    <row r="26" spans="1:18" x14ac:dyDescent="0.2">
      <c r="A26" s="3" t="s">
        <v>36</v>
      </c>
      <c r="N26" s="8">
        <f>N25/M25-1</f>
        <v>0.26666666666666661</v>
      </c>
      <c r="O26" s="8">
        <f t="shared" ref="O26:Q26" si="13">O25/N25-1</f>
        <v>0.33333333333333326</v>
      </c>
      <c r="P26" s="8">
        <f t="shared" si="13"/>
        <v>0.22368421052631571</v>
      </c>
      <c r="Q26" s="8">
        <f t="shared" si="13"/>
        <v>0.20967741935483875</v>
      </c>
      <c r="R26" s="8"/>
    </row>
    <row r="27" spans="1:18" x14ac:dyDescent="0.2">
      <c r="A27" s="3" t="s">
        <v>37</v>
      </c>
      <c r="N27" s="7">
        <f>N2/N25</f>
        <v>0</v>
      </c>
      <c r="O27" s="7">
        <f t="shared" ref="O27:Q27" si="14">O2/O25</f>
        <v>0</v>
      </c>
      <c r="P27" s="7">
        <f t="shared" si="14"/>
        <v>2790.4784946236559</v>
      </c>
      <c r="Q27" s="7">
        <f t="shared" si="14"/>
        <v>2545.7244444444445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Cadal Duarte Morais</dc:creator>
  <cp:lastModifiedBy>Alexandre Duarte Morais</cp:lastModifiedBy>
  <dcterms:created xsi:type="dcterms:W3CDTF">2024-02-12T14:40:19Z</dcterms:created>
  <dcterms:modified xsi:type="dcterms:W3CDTF">2024-11-07T16:16:18Z</dcterms:modified>
</cp:coreProperties>
</file>