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"/>
    </mc:Choice>
  </mc:AlternateContent>
  <xr:revisionPtr revIDLastSave="545" documentId="8_{8CF518FD-2201-4D20-824A-2B744ED1FF02}" xr6:coauthVersionLast="47" xr6:coauthVersionMax="47" xr10:uidLastSave="{1068A966-02BF-42A0-8F52-368C09B72E82}"/>
  <bookViews>
    <workbookView xWindow="-120" yWindow="-120" windowWidth="29040" windowHeight="15720" firstSheet="1" activeTab="1" xr2:uid="{CAF34FAC-5A1E-475D-B028-C46A72656E6A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 s="1"/>
  <c r="N18" i="2" s="1"/>
  <c r="C22" i="1"/>
  <c r="B22" i="1"/>
  <c r="M9" i="2"/>
  <c r="N9" i="2" s="1"/>
  <c r="O9" i="2" s="1"/>
  <c r="P9" i="2" s="1"/>
  <c r="Q9" i="2" s="1"/>
  <c r="R9" i="2" s="1"/>
  <c r="S9" i="2" s="1"/>
  <c r="T9" i="2" s="1"/>
  <c r="M22" i="2"/>
  <c r="T23" i="2"/>
  <c r="S23" i="2"/>
  <c r="R23" i="2"/>
  <c r="Q23" i="2"/>
  <c r="P23" i="2"/>
  <c r="O23" i="2"/>
  <c r="N23" i="2"/>
  <c r="M23" i="2"/>
  <c r="L23" i="2"/>
  <c r="L24" i="2" s="1"/>
  <c r="K23" i="2"/>
  <c r="N16" i="2"/>
  <c r="O16" i="2" s="1"/>
  <c r="N14" i="2"/>
  <c r="O14" i="2" s="1"/>
  <c r="P14" i="2" s="1"/>
  <c r="Q14" i="2" s="1"/>
  <c r="R14" i="2" s="1"/>
  <c r="S14" i="2" s="1"/>
  <c r="T14" i="2" s="1"/>
  <c r="O8" i="2"/>
  <c r="P8" i="2" s="1"/>
  <c r="Q8" i="2" s="1"/>
  <c r="R8" i="2" s="1"/>
  <c r="S8" i="2" s="1"/>
  <c r="T8" i="2" s="1"/>
  <c r="N8" i="2"/>
  <c r="T6" i="2"/>
  <c r="S6" i="2"/>
  <c r="R6" i="2"/>
  <c r="Q6" i="2"/>
  <c r="P6" i="2"/>
  <c r="O6" i="2"/>
  <c r="N6" i="2"/>
  <c r="O5" i="2"/>
  <c r="P5" i="2" s="1"/>
  <c r="Q5" i="2" s="1"/>
  <c r="R5" i="2" s="1"/>
  <c r="S5" i="2" s="1"/>
  <c r="T5" i="2" s="1"/>
  <c r="N5" i="2"/>
  <c r="O4" i="2"/>
  <c r="P4" i="2" s="1"/>
  <c r="Q4" i="2" s="1"/>
  <c r="R4" i="2" s="1"/>
  <c r="S4" i="2" s="1"/>
  <c r="T4" i="2" s="1"/>
  <c r="N4" i="2"/>
  <c r="N3" i="2"/>
  <c r="O3" i="2" s="1"/>
  <c r="M16" i="2"/>
  <c r="M14" i="2"/>
  <c r="M8" i="2"/>
  <c r="M4" i="2"/>
  <c r="M5" i="2"/>
  <c r="M3" i="2"/>
  <c r="M18" i="2"/>
  <c r="O1" i="2"/>
  <c r="P1" i="2" s="1"/>
  <c r="Q1" i="2" s="1"/>
  <c r="R1" i="2" s="1"/>
  <c r="S1" i="2" s="1"/>
  <c r="T1" i="2" s="1"/>
  <c r="N1" i="2"/>
  <c r="M1" i="2"/>
  <c r="L18" i="2"/>
  <c r="L14" i="2"/>
  <c r="L12" i="2"/>
  <c r="L10" i="2"/>
  <c r="L9" i="2"/>
  <c r="L8" i="2"/>
  <c r="L5" i="2"/>
  <c r="L4" i="2"/>
  <c r="L6" i="2" s="1"/>
  <c r="L3" i="2"/>
  <c r="L2" i="2"/>
  <c r="K24" i="2"/>
  <c r="K9" i="2"/>
  <c r="K2" i="2"/>
  <c r="K6" i="2"/>
  <c r="K7" i="2" s="1"/>
  <c r="K19" i="2" s="1"/>
  <c r="E9" i="2"/>
  <c r="E2" i="2"/>
  <c r="B23" i="2"/>
  <c r="B24" i="2" s="1"/>
  <c r="B6" i="2"/>
  <c r="B9" i="2"/>
  <c r="B2" i="2"/>
  <c r="F9" i="2"/>
  <c r="F2" i="2"/>
  <c r="G23" i="2"/>
  <c r="F23" i="2"/>
  <c r="F24" i="2" s="1"/>
  <c r="E23" i="2"/>
  <c r="E24" i="2" s="1"/>
  <c r="D23" i="2"/>
  <c r="C23" i="2"/>
  <c r="H23" i="2"/>
  <c r="H24" i="2" s="1"/>
  <c r="D9" i="2"/>
  <c r="D2" i="2"/>
  <c r="H9" i="2"/>
  <c r="H2" i="2"/>
  <c r="C24" i="2"/>
  <c r="D24" i="2"/>
  <c r="E6" i="2"/>
  <c r="F6" i="2"/>
  <c r="H6" i="2"/>
  <c r="D6" i="2"/>
  <c r="G24" i="2"/>
  <c r="C9" i="2"/>
  <c r="G9" i="2"/>
  <c r="G7" i="2"/>
  <c r="G11" i="2" s="1"/>
  <c r="G13" i="2" s="1"/>
  <c r="G15" i="2" s="1"/>
  <c r="G20" i="2" s="1"/>
  <c r="C6" i="2"/>
  <c r="C7" i="2" s="1"/>
  <c r="C2" i="2"/>
  <c r="G6" i="2"/>
  <c r="G2" i="2"/>
  <c r="G18" i="2" s="1"/>
  <c r="B17" i="1"/>
  <c r="B4" i="1"/>
  <c r="B5" i="1"/>
  <c r="N22" i="2" l="1"/>
  <c r="N24" i="2" s="1"/>
  <c r="N7" i="2"/>
  <c r="N11" i="2" s="1"/>
  <c r="N12" i="2" s="1"/>
  <c r="N13" i="2" s="1"/>
  <c r="N15" i="2" s="1"/>
  <c r="M24" i="2"/>
  <c r="P16" i="2"/>
  <c r="Q16" i="2" s="1"/>
  <c r="R16" i="2" s="1"/>
  <c r="S16" i="2" s="1"/>
  <c r="T16" i="2" s="1"/>
  <c r="P3" i="2"/>
  <c r="Q3" i="2" s="1"/>
  <c r="R3" i="2" s="1"/>
  <c r="S3" i="2" s="1"/>
  <c r="T3" i="2" s="1"/>
  <c r="O2" i="2"/>
  <c r="M6" i="2"/>
  <c r="M7" i="2" s="1"/>
  <c r="M19" i="2" s="1"/>
  <c r="L7" i="2"/>
  <c r="K11" i="2"/>
  <c r="K13" i="2" s="1"/>
  <c r="K15" i="2" s="1"/>
  <c r="K20" i="2" s="1"/>
  <c r="E7" i="2"/>
  <c r="E11" i="2" s="1"/>
  <c r="E13" i="2" s="1"/>
  <c r="E15" i="2" s="1"/>
  <c r="E20" i="2" s="1"/>
  <c r="C11" i="2"/>
  <c r="C13" i="2" s="1"/>
  <c r="C15" i="2" s="1"/>
  <c r="C20" i="2" s="1"/>
  <c r="C19" i="2"/>
  <c r="G19" i="2"/>
  <c r="B7" i="2"/>
  <c r="B11" i="2" s="1"/>
  <c r="B13" i="2" s="1"/>
  <c r="B15" i="2" s="1"/>
  <c r="B20" i="2" s="1"/>
  <c r="F18" i="2"/>
  <c r="F7" i="2"/>
  <c r="F19" i="2" s="1"/>
  <c r="D7" i="2"/>
  <c r="D11" i="2" s="1"/>
  <c r="D13" i="2" s="1"/>
  <c r="D15" i="2" s="1"/>
  <c r="D20" i="2" s="1"/>
  <c r="H18" i="2"/>
  <c r="H7" i="2"/>
  <c r="O22" i="2" l="1"/>
  <c r="O24" i="2" s="1"/>
  <c r="O7" i="2"/>
  <c r="O11" i="2" s="1"/>
  <c r="N20" i="2"/>
  <c r="N19" i="2"/>
  <c r="O18" i="2"/>
  <c r="P2" i="2"/>
  <c r="M11" i="2"/>
  <c r="M12" i="2" s="1"/>
  <c r="L19" i="2"/>
  <c r="L11" i="2"/>
  <c r="L13" i="2" s="1"/>
  <c r="L15" i="2" s="1"/>
  <c r="L20" i="2" s="1"/>
  <c r="E19" i="2"/>
  <c r="B19" i="2"/>
  <c r="F11" i="2"/>
  <c r="F13" i="2" s="1"/>
  <c r="F15" i="2" s="1"/>
  <c r="F20" i="2" s="1"/>
  <c r="D19" i="2"/>
  <c r="H11" i="2"/>
  <c r="H13" i="2" s="1"/>
  <c r="H15" i="2" s="1"/>
  <c r="H20" i="2" s="1"/>
  <c r="H19" i="2"/>
  <c r="Q2" i="2" l="1"/>
  <c r="P18" i="2"/>
  <c r="P7" i="2"/>
  <c r="P22" i="2"/>
  <c r="P24" i="2" s="1"/>
  <c r="O12" i="2"/>
  <c r="O13" i="2" s="1"/>
  <c r="O15" i="2" s="1"/>
  <c r="O20" i="2" s="1"/>
  <c r="O19" i="2"/>
  <c r="M13" i="2"/>
  <c r="M15" i="2" s="1"/>
  <c r="M20" i="2" s="1"/>
  <c r="R2" i="2" l="1"/>
  <c r="Q7" i="2"/>
  <c r="Q18" i="2"/>
  <c r="Q22" i="2"/>
  <c r="Q24" i="2" s="1"/>
  <c r="P19" i="2"/>
  <c r="P11" i="2"/>
  <c r="P12" i="2" l="1"/>
  <c r="P13" i="2" s="1"/>
  <c r="P15" i="2" s="1"/>
  <c r="P20" i="2" s="1"/>
  <c r="Q11" i="2"/>
  <c r="Q19" i="2"/>
  <c r="S2" i="2"/>
  <c r="R18" i="2"/>
  <c r="R22" i="2"/>
  <c r="R24" i="2" s="1"/>
  <c r="R7" i="2"/>
  <c r="R11" i="2" l="1"/>
  <c r="R19" i="2"/>
  <c r="Q12" i="2"/>
  <c r="Q13" i="2" s="1"/>
  <c r="Q15" i="2" s="1"/>
  <c r="Q20" i="2" s="1"/>
  <c r="T2" i="2"/>
  <c r="S18" i="2"/>
  <c r="S7" i="2"/>
  <c r="S22" i="2"/>
  <c r="S24" i="2" s="1"/>
  <c r="S19" i="2" l="1"/>
  <c r="S11" i="2"/>
  <c r="T18" i="2"/>
  <c r="T7" i="2"/>
  <c r="T22" i="2"/>
  <c r="T24" i="2" s="1"/>
  <c r="R12" i="2"/>
  <c r="R13" i="2" s="1"/>
  <c r="R15" i="2" s="1"/>
  <c r="R20" i="2" s="1"/>
  <c r="T11" i="2" l="1"/>
  <c r="T19" i="2"/>
  <c r="S12" i="2"/>
  <c r="S13" i="2" s="1"/>
  <c r="S15" i="2" s="1"/>
  <c r="S20" i="2" s="1"/>
  <c r="T12" i="2" l="1"/>
  <c r="T13" i="2" s="1"/>
  <c r="T15" i="2" s="1"/>
  <c r="T20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<sst xmlns="http://schemas.openxmlformats.org/spreadsheetml/2006/main" count="61" uniqueCount="61">
  <si>
    <t>Ticket</t>
  </si>
  <si>
    <t>price</t>
  </si>
  <si>
    <t>shares</t>
  </si>
  <si>
    <t>mc</t>
  </si>
  <si>
    <t>net cash</t>
  </si>
  <si>
    <t>business model</t>
  </si>
  <si>
    <t>investing in, owning, and leasing healthcare real estate</t>
  </si>
  <si>
    <t>founded</t>
  </si>
  <si>
    <t>Properties</t>
  </si>
  <si>
    <t>countries</t>
  </si>
  <si>
    <t xml:space="preserve">USA </t>
  </si>
  <si>
    <t>UK</t>
  </si>
  <si>
    <t>GERMANY</t>
  </si>
  <si>
    <t>Switzerland</t>
  </si>
  <si>
    <t>Australia</t>
  </si>
  <si>
    <t>Spain</t>
  </si>
  <si>
    <t>Other</t>
  </si>
  <si>
    <t>Average lease and loan maturity 17,2y</t>
  </si>
  <si>
    <t>major clients</t>
  </si>
  <si>
    <t>% assets</t>
  </si>
  <si>
    <t>%revenue</t>
  </si>
  <si>
    <t>Steward Health Care</t>
  </si>
  <si>
    <t>Circle Health</t>
  </si>
  <si>
    <t>Priory Group</t>
  </si>
  <si>
    <t>Prospect Medical Holdings</t>
  </si>
  <si>
    <t xml:space="preserve"> b</t>
  </si>
  <si>
    <t>Common Spirit Health</t>
  </si>
  <si>
    <t>Swiss Medical Network</t>
  </si>
  <si>
    <t>MEDIAN</t>
  </si>
  <si>
    <t>Ernest Health</t>
  </si>
  <si>
    <t>Lifepoint Health</t>
  </si>
  <si>
    <t>FY 2022 Q1</t>
  </si>
  <si>
    <t>FY 2022 Q2</t>
  </si>
  <si>
    <t>FY 2022 Q3</t>
  </si>
  <si>
    <t>FY 2022 Q4</t>
  </si>
  <si>
    <t>FY 2023 Q1</t>
  </si>
  <si>
    <t>FY 2023 Q2</t>
  </si>
  <si>
    <t>FY 2023 Q3</t>
  </si>
  <si>
    <t>FY 2023 Q4</t>
  </si>
  <si>
    <t>Rent Revenues</t>
  </si>
  <si>
    <t>D&amp;A</t>
  </si>
  <si>
    <t>Property related</t>
  </si>
  <si>
    <t>G&amp;A</t>
  </si>
  <si>
    <t>Total Expenses</t>
  </si>
  <si>
    <t>Operating Profit</t>
  </si>
  <si>
    <t>Income from financing leases</t>
  </si>
  <si>
    <t>Net Interest</t>
  </si>
  <si>
    <t>Other Income</t>
  </si>
  <si>
    <t>Pretax Income</t>
  </si>
  <si>
    <t>Taxes</t>
  </si>
  <si>
    <t>Net Income</t>
  </si>
  <si>
    <t>Non-controling intereste</t>
  </si>
  <si>
    <t>Net-Income to Shareholder</t>
  </si>
  <si>
    <t>Shares</t>
  </si>
  <si>
    <t>Revenue Y/Y</t>
  </si>
  <si>
    <t>Operating Margin %</t>
  </si>
  <si>
    <t>Net Margin %</t>
  </si>
  <si>
    <t>AFFO</t>
  </si>
  <si>
    <t>Dividends Paid</t>
  </si>
  <si>
    <t>Payout Ratio %</t>
  </si>
  <si>
    <t>Dividends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</si>
</sst>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2" fillId="0" borderId="0" xfId="1" applyFont="1"/>
    <xf numFmtId="4" fontId="0" fillId="0" borderId="0" xfId="0" applyNumberFormat="1"/>
    <xf numFmtId="4" fontId="2" fillId="0" borderId="0" xfId="0" applyNumberFormat="1" applyFont="1"/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06/relationships/rdSupportingPropertyBag" Target="richData/rdsupportingpropertybag.xml"/><Relationship Id="rId5" Type="http://schemas.openxmlformats.org/officeDocument/2006/relationships/sharedStrings" Target="sharedStrings.xml"/><Relationship Id="rId10" Type="http://schemas.microsoft.com/office/2017/06/relationships/rdSupportingPropertyBagStructure" Target="richData/rdsupportingpropertybagstructure.xml"/><Relationship Id="rId4" Type="http://schemas.openxmlformats.org/officeDocument/2006/relationships/styles" Target="styles.xml"/><Relationship Id="rId9" Type="http://schemas.microsoft.com/office/2017/06/relationships/richStyles" Target="richData/rich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38100</xdr:rowOff>
    </xdr:from>
    <xdr:to>
      <xdr:col>12</xdr:col>
      <xdr:colOff>0</xdr:colOff>
      <xdr:row>29</xdr:row>
      <xdr:rowOff>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A43B6ADD-7CF3-28FD-B75D-5E8B0DBF3040}"/>
            </a:ext>
          </a:extLst>
        </xdr:cNvPr>
        <xdr:cNvCxnSpPr/>
      </xdr:nvCxnSpPr>
      <xdr:spPr>
        <a:xfrm>
          <a:off x="9201150" y="38100"/>
          <a:ext cx="0" cy="5486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0</xdr:row>
      <xdr:rowOff>19050</xdr:rowOff>
    </xdr:from>
    <xdr:to>
      <xdr:col>8</xdr:col>
      <xdr:colOff>19050</xdr:colOff>
      <xdr:row>28</xdr:row>
      <xdr:rowOff>104775</xdr:rowOff>
    </xdr:to>
    <xdr:cxnSp macro="">
      <xdr:nvCxnSpPr>
        <xdr:cNvPr id="6" name="Conexão reta 5">
          <a:extLst>
            <a:ext uri="{FF2B5EF4-FFF2-40B4-BE49-F238E27FC236}">
              <a16:creationId xmlns:a16="http://schemas.microsoft.com/office/drawing/2014/main" id="{0FB2FF3C-7AC5-0FAE-DEAC-DB74A4122270}"/>
            </a:ext>
          </a:extLst>
        </xdr:cNvPr>
        <xdr:cNvCxnSpPr/>
      </xdr:nvCxnSpPr>
      <xdr:spPr>
        <a:xfrm flipH="1">
          <a:off x="6686550" y="19050"/>
          <a:ext cx="9525" cy="5419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3">
  <rv s="0">
    <v>https://www.bing.com/financeapi/forcetrigger?t=a1xwkr&amp;q=XNYS%3aMPW&amp;form=skydnc</v>
    <v>Learn more on Bing</v>
  </rv>
  <rv s="1">
    <v>pt-BR</v>
    <v>a1xwkr</v>
    <v>268435456</v>
    <v>1</v>
    <v>Da plataforma Refinitiv</v>
    <v>0</v>
    <v>1</v>
    <v>MEDICAL PROPERTIES TRUST, INC. (XNYS:MPW)</v>
    <v>3</v>
    <v>4</v>
    <v>Finance</v>
    <v>5</v>
    <v>14</v>
    <v>4.0410000000000004</v>
    <v>XNYS</v>
    <v>599000000</v>
    <v>0</v>
    <v>0</v>
    <v>5.08</v>
    <v>2003</v>
    <v>4.93</v>
    <v>1.1677999999999999</v>
    <v>New York Stock Exchange</v>
    <v>3030940000</v>
    <v>A Medical Properties Trust, Inc. é um fundo de investimento imobiliário auto aconselhado que adquire, desenvolve, aluga e faz outros investimentos em instalações de saúde que prestam serviços de saúde. A Companhia aluga suas instalações para operadoras de saúde por meio de aluguéis líquidos de longo prazo, que exigem que o inquilino assuma a maior parte dos custos associados ao imóvel. A Companhia também faz empréstimos hipotecários de longo prazo, apenas com juros, para operadoras de saúde e, de tempos em tempos, também faz empréstimos operacionais, de capital de giro e de aquisição para seus inquilinos. A Medical Properties Trust conduz substancialmente todos os seus negócios por meio de suas subsidiárias integrais, as MPT Operating Partnership, L.P., MPT Development Services, Inc e MPT Finance Company LLC. Em 31 de dezembro de 2005, a Companhia possuía 14 instalações, que estavam sendo operadas por quatro inquilinos; tinha três instalações em desenvolvimento e alugadas a mais três inquilinos, e tinha um empréstimo hipotecário a outro operador.</v>
    <v>XNYS</v>
    <v>4.9400000000000004</v>
    <v>119</v>
    <v>45279.888901758597</v>
    <v>0</v>
    <v>15735851</v>
    <v>USD</v>
    <v>MEDICAL PROPERTIES TRUST, INC.</v>
    <v>MEDICAL PROPERTIES TRUST, INC.</v>
    <v>5</v>
    <v>5.0599999999999996</v>
    <v>5.0599999999999996</v>
    <v>1000 Urban Center Drive, Suite 501, BIRMINGHAM, AL, 35242 US</v>
    <v>Residential &amp; Commercial REIT</v>
    <v>MPW</v>
    <v>Ações</v>
    <v>MEDICAL PROPERTIES TRUST, INC. (XNYS:MPW)</v>
    <v>0.12</v>
    <v>2.4291E-2</v>
    <v>12268545</v>
  </rv>
  <rv s="2">
    <v>1</v>
  </rv>
</rvData>
</file>

<file path=xl/richData/rdrichvaluestructure.xml><?xml version="1.0" encoding="utf-8"?>
<rvStructures xmlns="http://schemas.microsoft.com/office/spreadsheetml/2017/richdata" count="3">
  <s t="_hyperlink">
    <k n="Address" t="s"/>
    <k n="Text" t="s"/>
  </s>
  <s t="_linkedentitycore">
    <k n="%EntityCulture" t="s"/>
    <k n="%EntityId" t="s"/>
    <k n="%EntityServiceId"/>
    <k n="%IsRefreshable" t="b"/>
    <k n="%ProviderInfo" t="s"/>
    <k n="_CanonicalPropertyNames" t="spb"/>
    <k n="_Display" t="spb"/>
    <k n="_DisplayString" t="s"/>
    <k n="_Flags" t="spb"/>
    <k n="_Format" t="spb"/>
    <k n="_Icon" t="s"/>
    <k n="_SubLabel" t="spb"/>
    <k n="52 semanas de alta"/>
    <k n="52 semanas de baixa"/>
    <k n="Abreviatura do câmbio" t="s"/>
    <k n="Ações em circulação"/>
    <k n="Alteração % (Horário prolongado)"/>
    <k n="Alteração (Horário prolongado)"/>
    <k n="Alto"/>
    <k n="Ano de incorporação"/>
    <k n="Baixo"/>
    <k n="Beta"/>
    <k n="Bolsa" t="s"/>
    <k n="Capitalização de mercado"/>
    <k n="Descrição" t="s"/>
    <k n="ExchangeID" t="s"/>
    <k n="Fechamento anterior"/>
    <k n="Funcionários"/>
    <k n="Hora da última transação"/>
    <k n="LearnMoreOnLink" t="r"/>
    <k n="Média de volume"/>
    <k n="Moeda" t="s"/>
    <k n="Nome" t="s"/>
    <k n="Nome oficial" t="s"/>
    <k n="Pendência"/>
    <k n="Preço"/>
    <k n="Preço (Horário prolongado)"/>
    <k n="Sede" t="s"/>
    <k n="Setor" t="s"/>
    <k n="Símbolo do ticker" t="s"/>
    <k n="Tipo de instrumento" t="s"/>
    <k n="UniqueName" t="s"/>
    <k n="Variação"/>
    <k n="Variação (%)"/>
    <k n="Volume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45">
      <v t="s">%EntityServiceId</v>
      <v t="s">_Format</v>
      <v t="s">%IsRefreshable</v>
      <v t="s">_CanonicalPropertyNames</v>
      <v t="s">%EntityCulture</v>
      <v t="s">%EntityId</v>
      <v t="s">_Icon</v>
      <v t="s">_Display</v>
      <v t="s">Nome</v>
      <v t="s">_SubLabel</v>
      <v t="s">Preço</v>
      <v t="s">Preço (Horário prolongado)</v>
      <v t="s">Bolsa</v>
      <v t="s">Nome oficial</v>
      <v t="s">Hora da última transação</v>
      <v t="s">Símbolo do ticker</v>
      <v t="s">Abreviatura do câmbio</v>
      <v t="s">Variação</v>
      <v t="s">Alteração (Horário prolongado)</v>
      <v t="s">Variação (%)</v>
      <v t="s">Alteração % (Horário prolongado)</v>
      <v t="s">Moeda</v>
      <v t="s">Fechamento anterior</v>
      <v t="s">Pendência</v>
      <v t="s">Alto</v>
      <v t="s">Baixo</v>
      <v t="s">52 semanas de alta</v>
      <v t="s">52 semanas de baixa</v>
      <v t="s">Volume</v>
      <v t="s">Média de volume</v>
      <v t="s">Capitalização de mercado</v>
      <v t="s">Beta</v>
      <v t="s">Ações em circulação</v>
      <v t="s">Descrição</v>
      <v t="s">Funcionários</v>
      <v t="s">Sede</v>
      <v t="s">Setor</v>
      <v t="s">Tipo de instrumento</v>
      <v t="s">Ano de incorporação</v>
      <v t="s">_Flags</v>
      <v t="s">UniqueName</v>
      <v t="s">_DisplayString</v>
      <v t="s">LearnMoreOnLink</v>
      <v t="s">ExchangeID</v>
      <v t="s">%ProviderInfo</v>
    </a>
  </spbArrays>
  <spbData count="6">
    <spb s="0">
      <v>High</v>
      <v>Beta</v>
      <v>Name</v>
      <v>Headquarters</v>
      <v>Low</v>
      <v>Exchange</v>
      <v>Currency</v>
      <v>Price</v>
      <v>Industry</v>
      <v>Volume</v>
      <v>Change</v>
      <v>Description</v>
      <v>Open</v>
      <v>ExchangeID</v>
      <v>UniqueName</v>
      <v>Employees</v>
      <v>Official name</v>
      <v>Change (%)</v>
      <v>%ProviderInfo</v>
      <v>LearnMoreOnLink</v>
      <v>Volume average</v>
      <v>Ticker symbol</v>
      <v>52 week high</v>
      <v>52 week low</v>
      <v>Year incorporated</v>
      <v>Shares outstanding</v>
      <v>Previous close</v>
      <v>Instrument type</v>
      <v>Exchange abbreviation</v>
      <v>Market cap</v>
      <v>Last trade time</v>
      <v>Price (Extended hours)</v>
      <v>Change (Extended hours)</v>
      <v>Change % (Extended hours)</v>
    </spb>
    <spb s="1">
      <v>0</v>
      <v>Name</v>
      <v>LearnMoreOnLink</v>
    </spb>
    <spb s="2">
      <v>0</v>
      <v>0</v>
      <v>0</v>
    </spb>
    <spb s="3">
      <v>2</v>
      <v>2</v>
      <v>2</v>
      <v>2</v>
    </spb>
    <spb s="4">
      <v>1</v>
      <v>2</v>
      <v>3</v>
      <v>1</v>
      <v>1</v>
      <v>4</v>
      <v>1</v>
      <v>1</v>
      <v>4</v>
      <v>5</v>
      <v>4</v>
      <v>6</v>
      <v>1</v>
      <v>1</v>
      <v>7</v>
      <v>4</v>
      <v>1</v>
      <v>8</v>
      <v>9</v>
      <v>1</v>
      <v>1</v>
      <v>5</v>
    </spb>
    <spb s="5">
      <v xml:space="preserve">no fechamento </v>
      <v xml:space="preserve">do fechamento anterior </v>
      <v>Origem : Nasdaq Última venda</v>
      <v xml:space="preserve">do fechamento anterior </v>
      <v>GMT</v>
      <v>Tempo Real Nasdaq Última venda</v>
      <v xml:space="preserve">do fechamento </v>
      <v xml:space="preserve">do fechamento </v>
    </spb>
  </spbData>
</supportingPropertyBags>
</file>

<file path=xl/richData/rdsupportingpropertybagstructure.xml><?xml version="1.0" encoding="utf-8"?>
<spbStructures xmlns="http://schemas.microsoft.com/office/spreadsheetml/2017/richdata2" count="6">
  <s>
    <k n="Alto" t="s"/>
    <k n="Beta" t="s"/>
    <k n="Nome" t="s"/>
    <k n="Sede" t="s"/>
    <k n="Baixo" t="s"/>
    <k n="Bolsa" t="s"/>
    <k n="Moeda" t="s"/>
    <k n="Preço" t="s"/>
    <k n="Setor" t="s"/>
    <k n="Volume" t="s"/>
    <k n="Variação" t="s"/>
    <k n="Descrição" t="s"/>
    <k n="Pendência" t="s"/>
    <k n="ExchangeID" t="s"/>
    <k n="UniqueName" t="s"/>
    <k n="Funcionários" t="s"/>
    <k n="Nome oficial" t="s"/>
    <k n="Variação (%)" t="s"/>
    <k n="%ProviderInfo" t="s"/>
    <k n="LearnMoreOnLink" t="s"/>
    <k n="Média de volume" t="s"/>
    <k n="Símbolo do ticker" t="s"/>
    <k n="52 semanas de alta" t="s"/>
    <k n="52 semanas de baixa" t="s"/>
    <k n="Ano de incorporação" t="s"/>
    <k n="Ações em circulação" t="s"/>
    <k n="Fechamento anterior" t="s"/>
    <k n="Tipo de instrumento" t="s"/>
    <k n="Abreviatura do câmbio" t="s"/>
    <k n="Capitalização de mercado" t="s"/>
    <k n="Hora da última transação" t="s"/>
    <k n="Preço (Horário prolongado)" t="s"/>
    <k n="Alteração (Horário prolongado)" t="s"/>
    <k n="Alteração % (Horário prolongado)" t="s"/>
  </s>
  <s>
    <k n="^Order" t="spba"/>
    <k n="TitleProperty" t="s"/>
    <k n="SubTitleProperty" t="s"/>
  </s>
  <s>
    <k n="ShowInCardView" t="b"/>
    <k n="ShowInDotNotation" t="b"/>
    <k n="ShowInAutoComplete" t="b"/>
  </s>
  <s>
    <k n="ExchangeID" t="spb"/>
    <k n="UniqueName" t="spb"/>
    <k n="`%ProviderInfo" t="spb"/>
    <k n="LearnMoreOnLink" t="spb"/>
  </s>
  <s>
    <k n="Alto" t="i"/>
    <k n="Beta" t="i"/>
    <k n="Nome" t="i"/>
    <k n="Baixo" t="i"/>
    <k n="Preço" t="i"/>
    <k n="Volume" t="i"/>
    <k n="Variação" t="i"/>
    <k n="Pendência" t="i"/>
    <k n="Funcionários" t="i"/>
    <k n="Variação (%)" t="i"/>
    <k n="Média de volume" t="i"/>
    <k n="`%EntityServiceId" t="i"/>
    <k n="52 semanas de alta" t="i"/>
    <k n="52 semanas de baixa" t="i"/>
    <k n="Ano de incorporação" t="i"/>
    <k n="Ações em circulação" t="i"/>
    <k n="Fechamento anterior" t="i"/>
    <k n="Capitalização de mercado" t="i"/>
    <k n="Hora da última transação" t="i"/>
    <k n="Preço (Horário prolongado)" t="i"/>
    <k n="Alteração (Horário prolongado)" t="i"/>
    <k n="Alteração % (Horário prolongado)" t="i"/>
  </s>
  <s>
    <k n="Preço" t="s"/>
    <k n="Variação" t="s"/>
    <k n="ExchangeID" t="s"/>
    <k n="Variação (%)" t="s"/>
    <k n="Hora da última transação" t="s"/>
    <k n="Preço (Horário prolongado)" t="s"/>
    <k n="Alteração (Horário prolongado)" t="s"/>
    <k n="Alteração % (Horário prolongado)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7">
    <x:dxf>
      <x:numFmt numFmtId="2" formatCode="0.00"/>
    </x:dxf>
    <x:dxf>
      <x:numFmt numFmtId="0" formatCode="General"/>
    </x:dxf>
    <x:dxf>
      <x:numFmt numFmtId="27" formatCode="dd/mm/yyyy\ hh:mm"/>
    </x:dxf>
    <x:dxf>
      <x:numFmt numFmtId="14" formatCode="0.00%"/>
    </x:dxf>
    <x:dxf>
      <x:numFmt numFmtId="3" formatCode="#,##0"/>
    </x:dxf>
    <x:dxf>
      <x:numFmt numFmtId="4" formatCode="#,##0.00"/>
    </x:dxf>
    <x:dxf>
      <x:numFmt numFmtId="1" formatCode="0"/>
    </x:dxf>
  </dxfs>
  <richProperties>
    <rPr n="NumberFormat" t="s"/>
    <rPr n="IsTitleField" t="b"/>
  </richProperties>
  <richStyles>
    <rSty dxfid="1">
      <rpv i="0">_([$$-en-US]* #,##0.00_);_([$$-en-US]* (#,##0.00);_([$$-en-US]* "-"??_);_(@_)</rpv>
    </rSty>
    <rSty dxfid="5">
      <rpv i="0">#,##0.00</rpv>
    </rSty>
    <rSty>
      <rpv i="1">1</rpv>
    </rSty>
    <rSty dxfid="4">
      <rpv i="0">#,##0</rpv>
    </rSty>
    <rSty dxfid="3"/>
    <rSty dxfid="0">
      <rpv i="0">0.00</rpv>
    </rSty>
    <rSty dxfid="6">
      <rpv i="0">0</rpv>
    </rSty>
    <rSty dxfid="1">
      <rpv i="0">_([$$-en-US]* #,##0_);_([$$-en-US]* (#,##0);_([$$-en-US]* "-"_);_(@_)</rpv>
    </rSty>
    <rSty dxfid="2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7C27-576D-469B-841A-80312D43E45D}">
  <dimension ref="A1:F30"/>
  <sheetViews>
    <sheetView workbookViewId="0">
      <selection activeCell="F25" sqref="F25"/>
    </sheetView>
  </sheetViews>
  <sheetFormatPr defaultRowHeight="15"/>
  <cols>
    <col min="1" max="1" width="23.85546875" customWidth="1"/>
    <col min="2" max="2" width="9" customWidth="1"/>
    <col min="3" max="3" width="9.85546875" customWidth="1"/>
  </cols>
  <sheetData>
    <row r="1" spans="1:2">
      <c r="A1" t="s">
        <v>0</v>
      </c>
      <c r="B1" t="e" vm="1">
        <v>#VALUE!</v>
      </c>
    </row>
    <row r="2" spans="1:2">
      <c r="A2" t="s">
        <v>1</v>
      </c>
      <c r="B2">
        <v>5.45</v>
      </c>
    </row>
    <row r="3" spans="1:2">
      <c r="A3" t="s">
        <v>2</v>
      </c>
      <c r="B3">
        <v>598.4</v>
      </c>
    </row>
    <row r="4" spans="1:2">
      <c r="A4" t="s">
        <v>3</v>
      </c>
      <c r="B4">
        <f>B2*B3</f>
        <v>3261.28</v>
      </c>
    </row>
    <row r="5" spans="1:2">
      <c r="A5" t="s">
        <v>4</v>
      </c>
      <c r="B5">
        <f>0.34-10160</f>
        <v>-10159.66</v>
      </c>
    </row>
    <row r="7" spans="1:2">
      <c r="A7" s="1" t="s">
        <v>5</v>
      </c>
      <c r="B7" t="s">
        <v>6</v>
      </c>
    </row>
    <row r="8" spans="1:2">
      <c r="A8" t="s">
        <v>7</v>
      </c>
      <c r="B8">
        <v>2003</v>
      </c>
    </row>
    <row r="9" spans="1:2">
      <c r="A9" t="s">
        <v>8</v>
      </c>
      <c r="B9">
        <v>441</v>
      </c>
    </row>
    <row r="10" spans="1:2">
      <c r="A10" s="1" t="s">
        <v>9</v>
      </c>
    </row>
    <row r="11" spans="1:2">
      <c r="A11" t="s">
        <v>10</v>
      </c>
      <c r="B11" s="4">
        <v>0.621</v>
      </c>
    </row>
    <row r="12" spans="1:2">
      <c r="A12" t="s">
        <v>11</v>
      </c>
      <c r="B12" s="4">
        <v>0.216</v>
      </c>
    </row>
    <row r="13" spans="1:2">
      <c r="A13" t="s">
        <v>12</v>
      </c>
      <c r="B13" s="4">
        <v>3.7999999999999999E-2</v>
      </c>
    </row>
    <row r="14" spans="1:2">
      <c r="A14" t="s">
        <v>13</v>
      </c>
      <c r="B14" s="4">
        <v>3.5999999999999997E-2</v>
      </c>
    </row>
    <row r="15" spans="1:2">
      <c r="A15" t="s">
        <v>14</v>
      </c>
      <c r="B15" s="4">
        <v>1.4999999999999999E-2</v>
      </c>
    </row>
    <row r="16" spans="1:2">
      <c r="A16" t="s">
        <v>15</v>
      </c>
      <c r="B16" s="4">
        <v>1.2E-2</v>
      </c>
    </row>
    <row r="17" spans="1:6">
      <c r="A17" t="s">
        <v>16</v>
      </c>
      <c r="B17" s="3">
        <f>2.7%+3.5%</f>
        <v>6.2000000000000006E-2</v>
      </c>
    </row>
    <row r="19" spans="1:6">
      <c r="A19" t="s">
        <v>17</v>
      </c>
    </row>
    <row r="21" spans="1:6">
      <c r="A21" t="s">
        <v>18</v>
      </c>
      <c r="B21" t="s">
        <v>19</v>
      </c>
      <c r="C21" t="s">
        <v>20</v>
      </c>
    </row>
    <row r="22" spans="1:6">
      <c r="A22" t="s">
        <v>21</v>
      </c>
      <c r="B22" s="9">
        <f>7.1%+6%+4.4%+1.6%+0.7%</f>
        <v>0.19800000000000001</v>
      </c>
      <c r="C22" s="10">
        <f>8.4%+5.8%+1.8%+2.7%+1.1%+0.1%</f>
        <v>0.19900000000000004</v>
      </c>
    </row>
    <row r="23" spans="1:6">
      <c r="A23" t="s">
        <v>22</v>
      </c>
      <c r="B23" s="9">
        <v>0.108</v>
      </c>
      <c r="C23" s="9">
        <v>0.13800000000000001</v>
      </c>
    </row>
    <row r="24" spans="1:6">
      <c r="A24" t="s">
        <v>23</v>
      </c>
      <c r="B24" s="11">
        <v>7.0000000000000007E-2</v>
      </c>
      <c r="C24" s="11">
        <v>0.08</v>
      </c>
    </row>
    <row r="25" spans="1:6">
      <c r="A25" t="s">
        <v>24</v>
      </c>
      <c r="B25" s="9">
        <v>5.6000000000000001E-2</v>
      </c>
      <c r="C25" s="9">
        <v>4.5999999999999999E-2</v>
      </c>
      <c r="F25" t="s">
        <v>25</v>
      </c>
    </row>
    <row r="26" spans="1:6">
      <c r="A26" t="s">
        <v>26</v>
      </c>
      <c r="B26" s="9">
        <v>4.2000000000000003E-2</v>
      </c>
      <c r="C26" s="9">
        <v>5.1999999999999998E-2</v>
      </c>
    </row>
    <row r="27" spans="1:6">
      <c r="A27" t="s">
        <v>27</v>
      </c>
      <c r="B27" s="9">
        <v>4.2000000000000003E-2</v>
      </c>
      <c r="C27" s="9">
        <v>8.3000000000000004E-2</v>
      </c>
    </row>
    <row r="28" spans="1:6">
      <c r="A28" t="s">
        <v>28</v>
      </c>
      <c r="B28" s="9">
        <v>3.5999999999999997E-2</v>
      </c>
      <c r="C28" s="9">
        <v>1E-3</v>
      </c>
    </row>
    <row r="29" spans="1:6">
      <c r="A29" t="s">
        <v>29</v>
      </c>
      <c r="B29" s="9">
        <v>3.4000000000000002E-2</v>
      </c>
      <c r="C29" s="9">
        <v>2.1999999999999999E-2</v>
      </c>
    </row>
    <row r="30" spans="1:6">
      <c r="A30" t="s">
        <v>30</v>
      </c>
      <c r="B30" s="9">
        <v>3.3000000000000002E-2</v>
      </c>
      <c r="C30" s="9">
        <v>5.0999999999999997E-2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1428-3773-4A46-AD3E-C8D9070D3BCC}">
  <dimension ref="A1:V28"/>
  <sheetViews>
    <sheetView tabSelected="1" workbookViewId="0">
      <pane xSplit="1" ySplit="1" topLeftCell="S4" activePane="bottomRight" state="frozen"/>
      <selection pane="bottomRight" activeCell="S4" sqref="S4"/>
      <selection pane="bottomLeft" activeCell="A2" sqref="A2"/>
      <selection pane="topRight" activeCell="B1" sqref="B1"/>
    </sheetView>
  </sheetViews>
  <sheetFormatPr defaultRowHeight="15"/>
  <cols>
    <col min="1" max="1" width="27.42578125" bestFit="1" customWidth="1"/>
    <col min="2" max="2" width="10.42578125" bestFit="1" customWidth="1"/>
    <col min="3" max="3" width="10.28515625" bestFit="1" customWidth="1"/>
    <col min="4" max="6" width="10.42578125" bestFit="1" customWidth="1"/>
    <col min="7" max="7" width="10.28515625" bestFit="1" customWidth="1"/>
    <col min="8" max="9" width="10.42578125" bestFit="1" customWidth="1"/>
    <col min="21" max="21" width="0" hidden="1" customWidth="1"/>
  </cols>
  <sheetData>
    <row r="1" spans="1:20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K1" s="1">
        <v>2021</v>
      </c>
      <c r="L1" s="1">
        <v>2022</v>
      </c>
      <c r="M1" s="1">
        <f>L1+1</f>
        <v>2023</v>
      </c>
      <c r="N1" s="1">
        <f t="shared" ref="N1:T1" si="0">M1+1</f>
        <v>2024</v>
      </c>
      <c r="O1" s="1">
        <f t="shared" si="0"/>
        <v>2025</v>
      </c>
      <c r="P1" s="1">
        <f t="shared" si="0"/>
        <v>2026</v>
      </c>
      <c r="Q1" s="1">
        <f t="shared" si="0"/>
        <v>2027</v>
      </c>
      <c r="R1" s="1">
        <f t="shared" si="0"/>
        <v>2028</v>
      </c>
      <c r="S1" s="1">
        <f t="shared" si="0"/>
        <v>2029</v>
      </c>
      <c r="T1" s="1">
        <f t="shared" si="0"/>
        <v>2030</v>
      </c>
    </row>
    <row r="2" spans="1:20">
      <c r="A2" s="1" t="s">
        <v>39</v>
      </c>
      <c r="B2" s="1">
        <f>263.402+61.044</f>
        <v>324.44599999999997</v>
      </c>
      <c r="C2" s="1">
        <f>241.209+58.518</f>
        <v>299.72699999999998</v>
      </c>
      <c r="D2" s="1">
        <f>232.418+26.552</f>
        <v>258.97000000000003</v>
      </c>
      <c r="E2" s="1">
        <f>231.845+58.045</f>
        <v>289.89</v>
      </c>
      <c r="F2" s="1">
        <f>248.157+56.693</f>
        <v>304.85000000000002</v>
      </c>
      <c r="G2" s="1">
        <f>247.491-39.329</f>
        <v>208.16200000000001</v>
      </c>
      <c r="H2" s="1">
        <f>229.306+21.511</f>
        <v>250.81700000000001</v>
      </c>
      <c r="I2" s="1"/>
      <c r="J2" s="1"/>
      <c r="K2" s="7">
        <f>931.942+241.433</f>
        <v>1173.375</v>
      </c>
      <c r="L2" s="7">
        <f>SUM(B2:E2)</f>
        <v>1173.0329999999999</v>
      </c>
      <c r="M2" s="7">
        <f>L2+50</f>
        <v>1223.0329999999999</v>
      </c>
      <c r="N2" s="7">
        <f t="shared" ref="N2:T2" si="1">M2*1.025</f>
        <v>1253.6088249999998</v>
      </c>
      <c r="O2" s="7">
        <f t="shared" si="1"/>
        <v>1284.9490456249996</v>
      </c>
      <c r="P2" s="7">
        <f t="shared" si="1"/>
        <v>1317.0727717656246</v>
      </c>
      <c r="Q2" s="7">
        <f t="shared" si="1"/>
        <v>1349.999591059765</v>
      </c>
      <c r="R2" s="7">
        <f t="shared" si="1"/>
        <v>1383.7495808362589</v>
      </c>
      <c r="S2" s="7">
        <f t="shared" si="1"/>
        <v>1418.3433203571653</v>
      </c>
      <c r="T2" s="7">
        <f t="shared" si="1"/>
        <v>1453.8019033660944</v>
      </c>
    </row>
    <row r="3" spans="1:20">
      <c r="A3" t="s">
        <v>40</v>
      </c>
      <c r="B3">
        <v>85.316000000000003</v>
      </c>
      <c r="C3">
        <v>84.334000000000003</v>
      </c>
      <c r="D3">
        <v>81.873000000000005</v>
      </c>
      <c r="E3">
        <v>81.453999999999994</v>
      </c>
      <c r="F3">
        <v>83.86</v>
      </c>
      <c r="G3">
        <v>364.40300000000002</v>
      </c>
      <c r="H3">
        <v>77.802000000000007</v>
      </c>
      <c r="K3" s="6">
        <v>321.24900000000002</v>
      </c>
      <c r="L3" s="6">
        <f t="shared" ref="L3:L5" si="2">SUM(B3:E3)</f>
        <v>332.97700000000003</v>
      </c>
      <c r="M3" s="6">
        <f>L3</f>
        <v>332.97700000000003</v>
      </c>
      <c r="N3" s="6">
        <f t="shared" ref="N3:T3" si="3">M3</f>
        <v>332.97700000000003</v>
      </c>
      <c r="O3" s="6">
        <f t="shared" si="3"/>
        <v>332.97700000000003</v>
      </c>
      <c r="P3" s="6">
        <f t="shared" si="3"/>
        <v>332.97700000000003</v>
      </c>
      <c r="Q3" s="6">
        <f t="shared" si="3"/>
        <v>332.97700000000003</v>
      </c>
      <c r="R3" s="6">
        <f t="shared" si="3"/>
        <v>332.97700000000003</v>
      </c>
      <c r="S3" s="6">
        <f t="shared" si="3"/>
        <v>332.97700000000003</v>
      </c>
      <c r="T3" s="6">
        <f t="shared" si="3"/>
        <v>332.97700000000003</v>
      </c>
    </row>
    <row r="4" spans="1:20">
      <c r="A4" t="s">
        <v>41</v>
      </c>
      <c r="B4">
        <v>8.5980000000000008</v>
      </c>
      <c r="C4">
        <v>21.135000000000002</v>
      </c>
      <c r="D4">
        <v>8.2650000000000006</v>
      </c>
      <c r="E4">
        <v>7.6989999999999998</v>
      </c>
      <c r="F4">
        <v>7.11</v>
      </c>
      <c r="G4">
        <v>24.675999999999998</v>
      </c>
      <c r="H4">
        <v>6.4829999999999997</v>
      </c>
      <c r="K4" s="6">
        <v>39.097999999999999</v>
      </c>
      <c r="L4" s="6">
        <f t="shared" si="2"/>
        <v>45.697000000000003</v>
      </c>
      <c r="M4" s="6">
        <f>L4*0.99</f>
        <v>45.240030000000004</v>
      </c>
      <c r="N4" s="6">
        <f t="shared" ref="N4:T4" si="4">M4*0.99</f>
        <v>44.787629700000004</v>
      </c>
      <c r="O4" s="6">
        <f t="shared" si="4"/>
        <v>44.339753403000003</v>
      </c>
      <c r="P4" s="6">
        <f t="shared" si="4"/>
        <v>43.896355868970005</v>
      </c>
      <c r="Q4" s="6">
        <f t="shared" si="4"/>
        <v>43.457392310280305</v>
      </c>
      <c r="R4" s="6">
        <f t="shared" si="4"/>
        <v>43.022818387177502</v>
      </c>
      <c r="S4" s="6">
        <f t="shared" si="4"/>
        <v>42.592590203305726</v>
      </c>
      <c r="T4" s="6">
        <f t="shared" si="4"/>
        <v>42.166664301272668</v>
      </c>
    </row>
    <row r="5" spans="1:20">
      <c r="A5" t="s">
        <v>42</v>
      </c>
      <c r="B5">
        <v>41.423999999999999</v>
      </c>
      <c r="C5">
        <v>38.857999999999997</v>
      </c>
      <c r="D5">
        <v>37.319000000000003</v>
      </c>
      <c r="E5">
        <v>42.893000000000001</v>
      </c>
      <c r="F5">
        <v>41.723999999999997</v>
      </c>
      <c r="G5">
        <v>35.603999999999999</v>
      </c>
      <c r="H5">
        <v>38.11</v>
      </c>
      <c r="K5" s="6">
        <v>145.63800000000001</v>
      </c>
      <c r="L5" s="6">
        <f t="shared" si="2"/>
        <v>160.494</v>
      </c>
      <c r="M5" s="6">
        <f>L5*1.02</f>
        <v>163.70388</v>
      </c>
      <c r="N5" s="6">
        <f t="shared" ref="N5:T5" si="5">M5*1.02</f>
        <v>166.9779576</v>
      </c>
      <c r="O5" s="6">
        <f t="shared" si="5"/>
        <v>170.31751675199999</v>
      </c>
      <c r="P5" s="6">
        <f t="shared" si="5"/>
        <v>173.72386708703999</v>
      </c>
      <c r="Q5" s="6">
        <f t="shared" si="5"/>
        <v>177.19834442878079</v>
      </c>
      <c r="R5" s="6">
        <f t="shared" si="5"/>
        <v>180.74231131735641</v>
      </c>
      <c r="S5" s="6">
        <f t="shared" si="5"/>
        <v>184.35715754370355</v>
      </c>
      <c r="T5" s="6">
        <f t="shared" si="5"/>
        <v>188.04430069457763</v>
      </c>
    </row>
    <row r="6" spans="1:20">
      <c r="A6" t="s">
        <v>43</v>
      </c>
      <c r="B6">
        <f>B3+B4+B5</f>
        <v>135.33799999999999</v>
      </c>
      <c r="C6">
        <f>C3+C4+C5</f>
        <v>144.327</v>
      </c>
      <c r="D6">
        <f>D3+D4+D5</f>
        <v>127.45700000000001</v>
      </c>
      <c r="E6">
        <f t="shared" ref="E6:F6" si="6">E3+E4+E5</f>
        <v>132.04599999999999</v>
      </c>
      <c r="F6">
        <f t="shared" si="6"/>
        <v>132.69399999999999</v>
      </c>
      <c r="G6">
        <f>G3+G4+G5</f>
        <v>424.68299999999999</v>
      </c>
      <c r="H6">
        <f>H3+H4+H5</f>
        <v>122.39500000000001</v>
      </c>
      <c r="K6" s="6">
        <f t="shared" ref="K6:M6" si="7">K3+K4+K5</f>
        <v>505.98500000000001</v>
      </c>
      <c r="L6" s="6">
        <f t="shared" si="7"/>
        <v>539.16800000000001</v>
      </c>
      <c r="M6" s="6">
        <f t="shared" si="7"/>
        <v>541.92091000000005</v>
      </c>
      <c r="N6" s="6">
        <f t="shared" ref="N6" si="8">N3+N4+N5</f>
        <v>544.74258730000008</v>
      </c>
      <c r="O6" s="6">
        <f t="shared" ref="O6" si="9">O3+O4+O5</f>
        <v>547.63427015499997</v>
      </c>
      <c r="P6" s="6">
        <f t="shared" ref="P6" si="10">P3+P4+P5</f>
        <v>550.59722295601</v>
      </c>
      <c r="Q6" s="6">
        <f t="shared" ref="Q6" si="11">Q3+Q4+Q5</f>
        <v>553.6327367390611</v>
      </c>
      <c r="R6" s="6">
        <f t="shared" ref="R6" si="12">R3+R4+R5</f>
        <v>556.74212970453391</v>
      </c>
      <c r="S6" s="6">
        <f t="shared" ref="S6" si="13">S3+S4+S5</f>
        <v>559.92674774700936</v>
      </c>
      <c r="T6" s="6">
        <f t="shared" ref="T6" si="14">T3+T4+T5</f>
        <v>563.18796499585028</v>
      </c>
    </row>
    <row r="7" spans="1:20">
      <c r="A7" s="1" t="s">
        <v>44</v>
      </c>
      <c r="B7" s="1">
        <f t="shared" ref="B7" si="15">B2-B6</f>
        <v>189.10799999999998</v>
      </c>
      <c r="C7" s="1">
        <f>C2-C6</f>
        <v>155.39999999999998</v>
      </c>
      <c r="D7" s="1">
        <f t="shared" ref="D7:H7" si="16">D2-D6</f>
        <v>131.51300000000003</v>
      </c>
      <c r="E7" s="1">
        <f t="shared" si="16"/>
        <v>157.84399999999999</v>
      </c>
      <c r="F7" s="1">
        <f t="shared" si="16"/>
        <v>172.15600000000003</v>
      </c>
      <c r="G7" s="1">
        <f t="shared" si="16"/>
        <v>-216.52099999999999</v>
      </c>
      <c r="H7" s="1">
        <f t="shared" si="16"/>
        <v>128.422</v>
      </c>
      <c r="K7" s="7">
        <f t="shared" ref="K7" si="17">K2-K6</f>
        <v>667.39</v>
      </c>
      <c r="L7" s="7">
        <f t="shared" ref="L7" si="18">L2-L6</f>
        <v>633.8649999999999</v>
      </c>
      <c r="M7" s="7">
        <f t="shared" ref="M7" si="19">M2-M6</f>
        <v>681.11208999999985</v>
      </c>
      <c r="N7" s="7">
        <f t="shared" ref="N7" si="20">N2-N6</f>
        <v>708.86623769999972</v>
      </c>
      <c r="O7" s="7">
        <f t="shared" ref="O7" si="21">O2-O6</f>
        <v>737.31477546999963</v>
      </c>
      <c r="P7" s="7">
        <f t="shared" ref="P7" si="22">P2-P6</f>
        <v>766.47554880961457</v>
      </c>
      <c r="Q7" s="7">
        <f t="shared" ref="Q7" si="23">Q2-Q6</f>
        <v>796.36685432070385</v>
      </c>
      <c r="R7" s="7">
        <f t="shared" ref="R7" si="24">R2-R6</f>
        <v>827.00745113172502</v>
      </c>
      <c r="S7" s="7">
        <f t="shared" ref="S7" si="25">S2-S6</f>
        <v>858.41657261015598</v>
      </c>
      <c r="T7" s="7">
        <f t="shared" ref="T7" si="26">T2-T6</f>
        <v>890.61393837024411</v>
      </c>
    </row>
    <row r="8" spans="1:20">
      <c r="A8" t="s">
        <v>45</v>
      </c>
      <c r="B8">
        <v>51.776000000000003</v>
      </c>
      <c r="C8">
        <v>51.872999999999998</v>
      </c>
      <c r="D8">
        <v>51.011000000000003</v>
      </c>
      <c r="E8">
        <v>48.92</v>
      </c>
      <c r="F8">
        <v>13.195</v>
      </c>
      <c r="G8">
        <v>68.468000000000004</v>
      </c>
      <c r="H8">
        <v>26.065999999999999</v>
      </c>
      <c r="K8" s="6">
        <v>202.59899999999999</v>
      </c>
      <c r="L8" s="6">
        <f t="shared" ref="L8:L10" si="27">SUM(B8:E8)</f>
        <v>203.57999999999998</v>
      </c>
      <c r="M8" s="6">
        <f>L8*1.01</f>
        <v>205.61579999999998</v>
      </c>
      <c r="N8" s="6">
        <f t="shared" ref="N8:T8" si="28">M8*1.01</f>
        <v>207.67195799999999</v>
      </c>
      <c r="O8" s="6">
        <f t="shared" si="28"/>
        <v>209.74867757999999</v>
      </c>
      <c r="P8" s="6">
        <f t="shared" si="28"/>
        <v>211.8461643558</v>
      </c>
      <c r="Q8" s="6">
        <f t="shared" si="28"/>
        <v>213.96462599935799</v>
      </c>
      <c r="R8" s="6">
        <f t="shared" si="28"/>
        <v>216.10427225935157</v>
      </c>
      <c r="S8" s="6">
        <f t="shared" si="28"/>
        <v>218.2653149819451</v>
      </c>
      <c r="T8" s="6">
        <f t="shared" si="28"/>
        <v>220.44796813176455</v>
      </c>
    </row>
    <row r="9" spans="1:20">
      <c r="A9" t="s">
        <v>46</v>
      </c>
      <c r="B9">
        <f>33.578-91.183</f>
        <v>-57.605000000000004</v>
      </c>
      <c r="C9">
        <f>48.626-87.73</f>
        <v>-39.104000000000006</v>
      </c>
      <c r="D9">
        <f>42.358-88.076</f>
        <v>-45.717999999999996</v>
      </c>
      <c r="E9">
        <f>41.676-92.047</f>
        <v>-50.370999999999995</v>
      </c>
      <c r="F9">
        <f>32.166-97.654</f>
        <v>-65.488</v>
      </c>
      <c r="G9">
        <f>60.765-104.47</f>
        <v>-43.704999999999998</v>
      </c>
      <c r="H9">
        <f>29.693-106.709</f>
        <v>-77.016000000000005</v>
      </c>
      <c r="K9" s="6">
        <f>168.695-367.393</f>
        <v>-198.69799999999998</v>
      </c>
      <c r="L9" s="6">
        <f t="shared" si="27"/>
        <v>-192.798</v>
      </c>
      <c r="M9" s="6">
        <f>L9</f>
        <v>-192.798</v>
      </c>
      <c r="N9" s="6">
        <f t="shared" ref="N9:T9" si="29">M9*0.99</f>
        <v>-190.87002000000001</v>
      </c>
      <c r="O9" s="6">
        <f t="shared" si="29"/>
        <v>-188.96131980000001</v>
      </c>
      <c r="P9" s="6">
        <f t="shared" si="29"/>
        <v>-187.07170660200001</v>
      </c>
      <c r="Q9" s="6">
        <f t="shared" si="29"/>
        <v>-185.20098953598</v>
      </c>
      <c r="R9" s="6">
        <f t="shared" si="29"/>
        <v>-183.3489796406202</v>
      </c>
      <c r="S9" s="6">
        <f t="shared" si="29"/>
        <v>-181.51548984421399</v>
      </c>
      <c r="T9" s="6">
        <f t="shared" si="29"/>
        <v>-179.70033494577186</v>
      </c>
    </row>
    <row r="10" spans="1:20">
      <c r="A10" t="s">
        <v>47</v>
      </c>
      <c r="B10">
        <v>460.04700000000003</v>
      </c>
      <c r="C10">
        <v>32.552</v>
      </c>
      <c r="D10">
        <v>103.79300000000001</v>
      </c>
      <c r="E10">
        <v>-281.32</v>
      </c>
      <c r="F10">
        <v>-83.29</v>
      </c>
      <c r="G10">
        <v>1.0629999999999999</v>
      </c>
      <c r="H10">
        <v>49.481000000000002</v>
      </c>
      <c r="K10" s="6">
        <v>59.597000000000001</v>
      </c>
      <c r="L10" s="6">
        <f t="shared" si="27"/>
        <v>315.07200000000006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  <c r="S10" s="6">
        <v>50</v>
      </c>
      <c r="T10" s="6">
        <v>50</v>
      </c>
    </row>
    <row r="11" spans="1:20">
      <c r="A11" t="s">
        <v>48</v>
      </c>
      <c r="B11">
        <f t="shared" ref="B11:F11" si="30">B7+B8+B9+B10</f>
        <v>643.32600000000002</v>
      </c>
      <c r="C11">
        <f t="shared" si="30"/>
        <v>200.72099999999995</v>
      </c>
      <c r="D11">
        <f t="shared" si="30"/>
        <v>240.59900000000005</v>
      </c>
      <c r="E11">
        <f t="shared" si="30"/>
        <v>-124.92699999999996</v>
      </c>
      <c r="F11">
        <f t="shared" si="30"/>
        <v>36.573000000000022</v>
      </c>
      <c r="G11">
        <f>G7+G8+G9+G10</f>
        <v>-190.69499999999999</v>
      </c>
      <c r="H11">
        <f>H7+H8+H9+H10</f>
        <v>126.953</v>
      </c>
      <c r="K11" s="6">
        <f t="shared" ref="K11:M11" si="31">K7+K8+K9+K10</f>
        <v>730.88800000000003</v>
      </c>
      <c r="L11" s="6">
        <f t="shared" si="31"/>
        <v>959.71900000000005</v>
      </c>
      <c r="M11" s="6">
        <f t="shared" si="31"/>
        <v>743.92988999999989</v>
      </c>
      <c r="N11" s="6">
        <f t="shared" ref="N11" si="32">N7+N8+N9+N10</f>
        <v>775.66817569999967</v>
      </c>
      <c r="O11" s="6">
        <f t="shared" ref="O11" si="33">O7+O8+O9+O10</f>
        <v>808.10213324999972</v>
      </c>
      <c r="P11" s="6">
        <f t="shared" ref="P11" si="34">P7+P8+P9+P10</f>
        <v>841.25000656341467</v>
      </c>
      <c r="Q11" s="6">
        <f t="shared" ref="Q11" si="35">Q7+Q8+Q9+Q10</f>
        <v>875.13049078408176</v>
      </c>
      <c r="R11" s="6">
        <f t="shared" ref="R11" si="36">R7+R8+R9+R10</f>
        <v>909.76274375045637</v>
      </c>
      <c r="S11" s="6">
        <f t="shared" ref="S11" si="37">S7+S8+S9+S10</f>
        <v>945.166397747887</v>
      </c>
      <c r="T11" s="6">
        <f t="shared" ref="T11" si="38">T7+T8+T9+T10</f>
        <v>981.36157155623687</v>
      </c>
    </row>
    <row r="12" spans="1:20">
      <c r="A12" t="s">
        <v>49</v>
      </c>
      <c r="B12">
        <v>-11.379</v>
      </c>
      <c r="C12">
        <v>-10.657</v>
      </c>
      <c r="D12">
        <v>-18.579000000000001</v>
      </c>
      <c r="E12">
        <v>-15.285</v>
      </c>
      <c r="F12">
        <v>-3.5430000000000001</v>
      </c>
      <c r="G12">
        <v>148.262</v>
      </c>
      <c r="H12">
        <v>-10.058</v>
      </c>
      <c r="K12" s="6">
        <v>-73.947999999999993</v>
      </c>
      <c r="L12" s="6">
        <f>SUM(B12:E12)</f>
        <v>-55.900000000000006</v>
      </c>
      <c r="M12" s="6">
        <f>-M11*0.1</f>
        <v>-74.392988999999986</v>
      </c>
      <c r="N12" s="6">
        <f t="shared" ref="N12:T12" si="39">-N11*0.1</f>
        <v>-77.566817569999969</v>
      </c>
      <c r="O12" s="6">
        <f t="shared" si="39"/>
        <v>-80.810213324999978</v>
      </c>
      <c r="P12" s="6">
        <f t="shared" si="39"/>
        <v>-84.12500065634147</v>
      </c>
      <c r="Q12" s="6">
        <f t="shared" si="39"/>
        <v>-87.513049078408187</v>
      </c>
      <c r="R12" s="6">
        <f t="shared" si="39"/>
        <v>-90.976274375045648</v>
      </c>
      <c r="S12" s="6">
        <f t="shared" si="39"/>
        <v>-94.5166397747887</v>
      </c>
      <c r="T12" s="6">
        <f t="shared" si="39"/>
        <v>-98.136157155623692</v>
      </c>
    </row>
    <row r="13" spans="1:20">
      <c r="A13" t="s">
        <v>50</v>
      </c>
      <c r="B13">
        <f t="shared" ref="B13" si="40">B11+B12</f>
        <v>631.947</v>
      </c>
      <c r="C13">
        <f>C11+C12</f>
        <v>190.06399999999994</v>
      </c>
      <c r="D13">
        <f t="shared" ref="D13:H13" si="41">D11+D12</f>
        <v>222.02000000000004</v>
      </c>
      <c r="E13">
        <f t="shared" si="41"/>
        <v>-140.21199999999996</v>
      </c>
      <c r="F13">
        <f t="shared" si="41"/>
        <v>33.030000000000022</v>
      </c>
      <c r="G13">
        <f t="shared" si="41"/>
        <v>-42.432999999999993</v>
      </c>
      <c r="H13">
        <f t="shared" si="41"/>
        <v>116.89500000000001</v>
      </c>
      <c r="K13" s="6">
        <f t="shared" ref="K13" si="42">K11+K12</f>
        <v>656.94</v>
      </c>
      <c r="L13" s="6">
        <f t="shared" ref="L13" si="43">L11+L12</f>
        <v>903.81900000000007</v>
      </c>
      <c r="M13" s="6">
        <f t="shared" ref="M13" si="44">M11+M12</f>
        <v>669.53690099999994</v>
      </c>
      <c r="N13" s="6">
        <f t="shared" ref="N13" si="45">N11+N12</f>
        <v>698.10135812999965</v>
      </c>
      <c r="O13" s="6">
        <f t="shared" ref="O13" si="46">O11+O12</f>
        <v>727.29191992499977</v>
      </c>
      <c r="P13" s="6">
        <f t="shared" ref="P13" si="47">P11+P12</f>
        <v>757.12500590707316</v>
      </c>
      <c r="Q13" s="6">
        <f t="shared" ref="Q13" si="48">Q11+Q12</f>
        <v>787.61744170567363</v>
      </c>
      <c r="R13" s="6">
        <f t="shared" ref="R13" si="49">R11+R12</f>
        <v>818.78646937541066</v>
      </c>
      <c r="S13" s="6">
        <f t="shared" ref="S13" si="50">S11+S12</f>
        <v>850.6497579730983</v>
      </c>
      <c r="T13" s="6">
        <f t="shared" ref="T13" si="51">T11+T12</f>
        <v>883.2254144006132</v>
      </c>
    </row>
    <row r="14" spans="1:20">
      <c r="A14" t="s">
        <v>51</v>
      </c>
      <c r="B14">
        <v>-0.26600000000000001</v>
      </c>
      <c r="C14">
        <v>-0.46700000000000003</v>
      </c>
      <c r="D14">
        <v>-0.22700000000000001</v>
      </c>
      <c r="E14">
        <v>-0.26200000000000001</v>
      </c>
      <c r="F14">
        <v>-0.23599999999999999</v>
      </c>
      <c r="G14">
        <v>0.39600000000000002</v>
      </c>
      <c r="H14">
        <v>-0.185</v>
      </c>
      <c r="K14" s="6">
        <v>-0.91900000000000004</v>
      </c>
      <c r="L14" s="6">
        <f>SUM(B14:E14)</f>
        <v>-1.222</v>
      </c>
      <c r="M14" s="6">
        <f>L14*1.025</f>
        <v>-1.2525499999999998</v>
      </c>
      <c r="N14" s="6">
        <f t="shared" ref="N14:T14" si="52">M14*1.025</f>
        <v>-1.2838637499999996</v>
      </c>
      <c r="O14" s="6">
        <f t="shared" si="52"/>
        <v>-1.3159603437499996</v>
      </c>
      <c r="P14" s="6">
        <f t="shared" si="52"/>
        <v>-1.3488593523437495</v>
      </c>
      <c r="Q14" s="6">
        <f t="shared" si="52"/>
        <v>-1.3825808361523431</v>
      </c>
      <c r="R14" s="6">
        <f t="shared" si="52"/>
        <v>-1.4171453570561514</v>
      </c>
      <c r="S14" s="6">
        <f t="shared" si="52"/>
        <v>-1.452573990982555</v>
      </c>
      <c r="T14" s="6">
        <f t="shared" si="52"/>
        <v>-1.4888883407571187</v>
      </c>
    </row>
    <row r="15" spans="1:20">
      <c r="A15" t="s">
        <v>52</v>
      </c>
      <c r="B15">
        <f t="shared" ref="B15" si="53">B13+B14</f>
        <v>631.68100000000004</v>
      </c>
      <c r="C15">
        <f>C13+C14</f>
        <v>189.59699999999992</v>
      </c>
      <c r="D15">
        <f t="shared" ref="D15:H15" si="54">D13+D14</f>
        <v>221.79300000000003</v>
      </c>
      <c r="E15">
        <f t="shared" si="54"/>
        <v>-140.47399999999996</v>
      </c>
      <c r="F15">
        <f t="shared" si="54"/>
        <v>32.794000000000025</v>
      </c>
      <c r="G15">
        <f t="shared" si="54"/>
        <v>-42.036999999999992</v>
      </c>
      <c r="H15">
        <f t="shared" si="54"/>
        <v>116.71000000000001</v>
      </c>
      <c r="K15" s="6">
        <f t="shared" ref="K15" si="55">K13+K14</f>
        <v>656.02100000000007</v>
      </c>
      <c r="L15" s="6">
        <f t="shared" ref="L15" si="56">L13+L14</f>
        <v>902.59700000000009</v>
      </c>
      <c r="M15" s="6">
        <f t="shared" ref="M15" si="57">M13+M14</f>
        <v>668.2843509999999</v>
      </c>
      <c r="N15" s="6">
        <f t="shared" ref="N15" si="58">N13+N14</f>
        <v>696.81749437999963</v>
      </c>
      <c r="O15" s="6">
        <f t="shared" ref="O15" si="59">O13+O14</f>
        <v>725.97595958124975</v>
      </c>
      <c r="P15" s="6">
        <f t="shared" ref="P15" si="60">P13+P14</f>
        <v>755.77614655472939</v>
      </c>
      <c r="Q15" s="6">
        <f t="shared" ref="Q15" si="61">Q13+Q14</f>
        <v>786.2348608695213</v>
      </c>
      <c r="R15" s="6">
        <f t="shared" ref="R15" si="62">R13+R14</f>
        <v>817.36932401835452</v>
      </c>
      <c r="S15" s="6">
        <f t="shared" ref="S15" si="63">S13+S14</f>
        <v>849.1971839821158</v>
      </c>
      <c r="T15" s="6">
        <f t="shared" ref="T15" si="64">T13+T14</f>
        <v>881.73652605985603</v>
      </c>
    </row>
    <row r="16" spans="1:20">
      <c r="A16" t="s">
        <v>53</v>
      </c>
      <c r="B16">
        <v>598.67600000000004</v>
      </c>
      <c r="C16">
        <v>598.827</v>
      </c>
      <c r="D16">
        <v>598.98</v>
      </c>
      <c r="E16">
        <v>598.053</v>
      </c>
      <c r="F16">
        <v>598.30200000000002</v>
      </c>
      <c r="G16">
        <v>598.34400000000005</v>
      </c>
      <c r="H16">
        <v>598.44399999999996</v>
      </c>
      <c r="K16" s="6">
        <v>588.81700000000001</v>
      </c>
      <c r="L16" s="6">
        <v>598.63400000000001</v>
      </c>
      <c r="M16" s="6">
        <f>L16</f>
        <v>598.63400000000001</v>
      </c>
      <c r="N16" s="6">
        <f t="shared" ref="N16:T16" si="65">M16</f>
        <v>598.63400000000001</v>
      </c>
      <c r="O16" s="6">
        <f t="shared" si="65"/>
        <v>598.63400000000001</v>
      </c>
      <c r="P16" s="6">
        <f t="shared" si="65"/>
        <v>598.63400000000001</v>
      </c>
      <c r="Q16" s="6">
        <f t="shared" si="65"/>
        <v>598.63400000000001</v>
      </c>
      <c r="R16" s="6">
        <f t="shared" si="65"/>
        <v>598.63400000000001</v>
      </c>
      <c r="S16" s="6">
        <f t="shared" si="65"/>
        <v>598.63400000000001</v>
      </c>
      <c r="T16" s="6">
        <f t="shared" si="65"/>
        <v>598.63400000000001</v>
      </c>
    </row>
    <row r="18" spans="1:22">
      <c r="A18" t="s">
        <v>54</v>
      </c>
      <c r="B18" s="2"/>
      <c r="C18" s="2"/>
      <c r="D18" s="2"/>
      <c r="E18" s="2"/>
      <c r="F18" s="2">
        <f>F2/B2-1</f>
        <v>-6.039834055590132E-2</v>
      </c>
      <c r="G18" s="2">
        <f>G2/C2-1</f>
        <v>-0.30549466681346682</v>
      </c>
      <c r="H18" s="2">
        <f>H2/D2-1</f>
        <v>-3.1482411090087759E-2</v>
      </c>
      <c r="K18" s="2"/>
      <c r="L18" s="2">
        <f>L2/K2-1</f>
        <v>-2.9146692233950056E-4</v>
      </c>
      <c r="M18" s="2">
        <f t="shared" ref="M18:O18" si="66">M2/L2-1</f>
        <v>4.2624546794506113E-2</v>
      </c>
      <c r="N18" s="2">
        <f t="shared" si="66"/>
        <v>2.4999999999999911E-2</v>
      </c>
      <c r="O18" s="2">
        <f t="shared" si="66"/>
        <v>2.4999999999999911E-2</v>
      </c>
      <c r="P18" s="2">
        <f t="shared" ref="P18:T18" si="67">P2/O2-1</f>
        <v>2.4999999999999911E-2</v>
      </c>
      <c r="Q18" s="2">
        <f t="shared" si="67"/>
        <v>2.4999999999999911E-2</v>
      </c>
      <c r="R18" s="2">
        <f t="shared" si="67"/>
        <v>2.4999999999999911E-2</v>
      </c>
      <c r="S18" s="2">
        <f t="shared" si="67"/>
        <v>2.4999999999999911E-2</v>
      </c>
      <c r="T18" s="2">
        <f t="shared" si="67"/>
        <v>2.4999999999999911E-2</v>
      </c>
    </row>
    <row r="19" spans="1:22">
      <c r="A19" t="s">
        <v>55</v>
      </c>
      <c r="B19" s="2">
        <f>B7/B2</f>
        <v>0.58286432873267047</v>
      </c>
      <c r="C19" s="2">
        <f t="shared" ref="C19:F19" si="68">C7/C2</f>
        <v>0.51847180934650527</v>
      </c>
      <c r="D19" s="2">
        <f t="shared" si="68"/>
        <v>0.50783102289840532</v>
      </c>
      <c r="E19" s="2">
        <f t="shared" si="68"/>
        <v>0.54449618820932078</v>
      </c>
      <c r="F19" s="2">
        <f t="shared" si="68"/>
        <v>0.56472363457438091</v>
      </c>
      <c r="G19" s="2">
        <f>G7/G2</f>
        <v>-1.0401562244790115</v>
      </c>
      <c r="H19" s="2">
        <f>H7/H2</f>
        <v>0.51201473584326418</v>
      </c>
      <c r="K19" s="2">
        <f t="shared" ref="K19:O19" si="69">K7/K2</f>
        <v>0.56877809736870133</v>
      </c>
      <c r="L19" s="2">
        <f t="shared" si="69"/>
        <v>0.54036416707799351</v>
      </c>
      <c r="M19" s="2">
        <f t="shared" si="69"/>
        <v>0.55690409825409448</v>
      </c>
      <c r="N19" s="2">
        <f t="shared" si="69"/>
        <v>0.56546047185014015</v>
      </c>
      <c r="O19" s="2">
        <f t="shared" si="69"/>
        <v>0.57380857083820747</v>
      </c>
      <c r="P19" s="2">
        <f t="shared" ref="P19:T19" si="70">P7/P2</f>
        <v>0.5819538337142165</v>
      </c>
      <c r="Q19" s="2">
        <f t="shared" si="70"/>
        <v>0.58990155226309871</v>
      </c>
      <c r="R19" s="2">
        <f t="shared" si="70"/>
        <v>0.59765687562624525</v>
      </c>
      <c r="S19" s="2">
        <f t="shared" si="70"/>
        <v>0.60522481425300512</v>
      </c>
      <c r="T19" s="2">
        <f t="shared" si="70"/>
        <v>0.61261024373963202</v>
      </c>
    </row>
    <row r="20" spans="1:22">
      <c r="A20" t="s">
        <v>56</v>
      </c>
      <c r="B20" s="2">
        <f t="shared" ref="B20:F20" si="71">B15/B2</f>
        <v>1.9469526515968762</v>
      </c>
      <c r="C20" s="2">
        <f t="shared" si="71"/>
        <v>0.63256563472760197</v>
      </c>
      <c r="D20" s="2">
        <f t="shared" si="71"/>
        <v>0.85644283121597098</v>
      </c>
      <c r="E20" s="2">
        <f t="shared" si="71"/>
        <v>-0.48457690848252777</v>
      </c>
      <c r="F20" s="2">
        <f t="shared" si="71"/>
        <v>0.10757421682794825</v>
      </c>
      <c r="G20" s="2">
        <f>G15/G2</f>
        <v>-0.20194367848118289</v>
      </c>
      <c r="H20" s="2">
        <f>H15/H2</f>
        <v>0.46531933640861667</v>
      </c>
      <c r="K20" s="2">
        <f t="shared" ref="K20:O20" si="72">K15/K2</f>
        <v>0.55908895280707371</v>
      </c>
      <c r="L20" s="2">
        <f t="shared" si="72"/>
        <v>0.76945576126161852</v>
      </c>
      <c r="M20" s="2">
        <f t="shared" si="72"/>
        <v>0.54641563310229568</v>
      </c>
      <c r="N20" s="2">
        <f t="shared" si="72"/>
        <v>0.55584922543920334</v>
      </c>
      <c r="O20" s="2">
        <f t="shared" si="72"/>
        <v>0.56498423968876899</v>
      </c>
      <c r="P20" s="2">
        <f t="shared" ref="P20:T20" si="73">P15/P2</f>
        <v>0.57383021102285847</v>
      </c>
      <c r="Q20" s="2">
        <f t="shared" si="73"/>
        <v>0.58239636965542929</v>
      </c>
      <c r="R20" s="2">
        <f t="shared" si="73"/>
        <v>0.59069165067019092</v>
      </c>
      <c r="S20" s="2">
        <f t="shared" si="73"/>
        <v>0.5987247035282488</v>
      </c>
      <c r="T20" s="2">
        <f t="shared" si="73"/>
        <v>0.60650390126626375</v>
      </c>
    </row>
    <row r="22" spans="1:22">
      <c r="A22" t="s">
        <v>57</v>
      </c>
      <c r="B22">
        <v>218.86500000000001</v>
      </c>
      <c r="C22">
        <v>212.25200000000001</v>
      </c>
      <c r="D22">
        <v>215.40899999999999</v>
      </c>
      <c r="E22">
        <v>203.536</v>
      </c>
      <c r="F22">
        <v>178.98099999999999</v>
      </c>
      <c r="G22">
        <v>242.87</v>
      </c>
      <c r="H22">
        <v>182.09</v>
      </c>
      <c r="K22" s="8">
        <v>811.36800000000005</v>
      </c>
      <c r="L22" s="8">
        <v>850.06200000000001</v>
      </c>
      <c r="M22" s="8">
        <f>M2*0.7</f>
        <v>856.12309999999991</v>
      </c>
      <c r="N22" s="8">
        <f t="shared" ref="N22:T22" si="74">N2*0.7</f>
        <v>877.52617749999979</v>
      </c>
      <c r="O22" s="8">
        <f t="shared" si="74"/>
        <v>899.46433193749965</v>
      </c>
      <c r="P22" s="8">
        <f t="shared" si="74"/>
        <v>921.95094023593708</v>
      </c>
      <c r="Q22" s="8">
        <f t="shared" si="74"/>
        <v>944.99971374183542</v>
      </c>
      <c r="R22" s="8">
        <f t="shared" si="74"/>
        <v>968.6247065853812</v>
      </c>
      <c r="S22" s="8">
        <f t="shared" si="74"/>
        <v>992.84032425001567</v>
      </c>
      <c r="T22" s="8">
        <f t="shared" si="74"/>
        <v>1017.661332356266</v>
      </c>
    </row>
    <row r="23" spans="1:22">
      <c r="A23" t="s">
        <v>58</v>
      </c>
      <c r="B23">
        <f t="shared" ref="B23:G23" si="75">B25*B16</f>
        <v>173.61604</v>
      </c>
      <c r="C23">
        <f t="shared" si="75"/>
        <v>173.65983</v>
      </c>
      <c r="D23">
        <f t="shared" si="75"/>
        <v>173.70419999999999</v>
      </c>
      <c r="E23">
        <f t="shared" si="75"/>
        <v>173.43536999999998</v>
      </c>
      <c r="F23">
        <f t="shared" si="75"/>
        <v>173.50757999999999</v>
      </c>
      <c r="G23">
        <f t="shared" si="75"/>
        <v>173.51975999999999</v>
      </c>
      <c r="H23">
        <f>H25*H16</f>
        <v>89.766599999999997</v>
      </c>
      <c r="K23" s="8">
        <f>K25*K16*4</f>
        <v>683.02771999999993</v>
      </c>
      <c r="L23" s="8">
        <f t="shared" ref="L23:T23" si="76">L25*L16*4</f>
        <v>694.41543999999999</v>
      </c>
      <c r="M23" s="8">
        <f t="shared" si="76"/>
        <v>359.18040000000002</v>
      </c>
      <c r="N23" s="8">
        <f t="shared" si="76"/>
        <v>407.07112000000006</v>
      </c>
      <c r="O23" s="8">
        <f t="shared" si="76"/>
        <v>431.01648</v>
      </c>
      <c r="P23" s="8">
        <f t="shared" si="76"/>
        <v>454.96184</v>
      </c>
      <c r="Q23" s="8">
        <f t="shared" si="76"/>
        <v>454.96184</v>
      </c>
      <c r="R23" s="8">
        <f t="shared" si="76"/>
        <v>478.90720000000005</v>
      </c>
      <c r="S23" s="8">
        <f t="shared" si="76"/>
        <v>478.90720000000005</v>
      </c>
      <c r="T23" s="8">
        <f t="shared" si="76"/>
        <v>478.90720000000005</v>
      </c>
    </row>
    <row r="24" spans="1:22">
      <c r="A24" s="1" t="s">
        <v>59</v>
      </c>
      <c r="B24" s="5">
        <f t="shared" ref="B24" si="77">B23/B22</f>
        <v>0.79325629954538179</v>
      </c>
      <c r="C24" s="5">
        <f t="shared" ref="C24:F24" si="78">C23/C22</f>
        <v>0.81817759078830821</v>
      </c>
      <c r="D24" s="5">
        <f t="shared" si="78"/>
        <v>0.80639249056446105</v>
      </c>
      <c r="E24" s="5">
        <f t="shared" si="78"/>
        <v>0.85211151835547505</v>
      </c>
      <c r="F24" s="5">
        <f t="shared" si="78"/>
        <v>0.96941898860772924</v>
      </c>
      <c r="G24" s="5">
        <f>G23/G22</f>
        <v>0.71445530530736601</v>
      </c>
      <c r="H24" s="5">
        <f>H23/H22</f>
        <v>0.49297929595255091</v>
      </c>
      <c r="K24" s="5">
        <f>K23/K22</f>
        <v>0.84182235434476083</v>
      </c>
      <c r="L24" s="5">
        <f t="shared" ref="L24:O24" si="79">L23/L22</f>
        <v>0.81689975554724237</v>
      </c>
      <c r="M24" s="5">
        <f t="shared" si="79"/>
        <v>0.41954293722479868</v>
      </c>
      <c r="N24" s="5">
        <f t="shared" si="79"/>
        <v>0.4638848736794523</v>
      </c>
      <c r="O24" s="5">
        <f t="shared" si="79"/>
        <v>0.47919240896586179</v>
      </c>
      <c r="P24" s="5">
        <f t="shared" ref="P24" si="80">P23/P22</f>
        <v>0.49347727752581977</v>
      </c>
      <c r="Q24" s="5">
        <f t="shared" ref="Q24" si="81">Q23/Q22</f>
        <v>0.48144124636665347</v>
      </c>
      <c r="R24" s="5">
        <f t="shared" ref="R24" si="82">R23/R22</f>
        <v>0.4944197652032386</v>
      </c>
      <c r="S24" s="5">
        <f t="shared" ref="S24" si="83">S23/S22</f>
        <v>0.48236074653974498</v>
      </c>
      <c r="T24" s="5">
        <f t="shared" ref="T24" si="84">T23/T22</f>
        <v>0.47059585028267809</v>
      </c>
    </row>
    <row r="25" spans="1:22">
      <c r="A25" t="s">
        <v>60</v>
      </c>
      <c r="B25">
        <v>0.28999999999999998</v>
      </c>
      <c r="C25">
        <v>0.28999999999999998</v>
      </c>
      <c r="D25">
        <v>0.28999999999999998</v>
      </c>
      <c r="E25">
        <v>0.28999999999999998</v>
      </c>
      <c r="F25">
        <v>0.28999999999999998</v>
      </c>
      <c r="G25">
        <v>0.28999999999999998</v>
      </c>
      <c r="H25">
        <v>0.15</v>
      </c>
      <c r="K25">
        <v>0.28999999999999998</v>
      </c>
      <c r="L25">
        <v>0.28999999999999998</v>
      </c>
      <c r="M25">
        <v>0.15</v>
      </c>
      <c r="N25">
        <v>0.17</v>
      </c>
      <c r="O25">
        <v>0.18</v>
      </c>
      <c r="P25">
        <v>0.19</v>
      </c>
      <c r="Q25">
        <v>0.19</v>
      </c>
      <c r="R25">
        <v>0.2</v>
      </c>
      <c r="S25">
        <v>0.2</v>
      </c>
      <c r="T25">
        <v>0.2</v>
      </c>
    </row>
    <row r="28" spans="1:22">
      <c r="V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alexandreduartemorais@gmail.com</dc:creator>
  <cp:keywords/>
  <dc:description/>
  <cp:lastModifiedBy>Utilizador Convidado</cp:lastModifiedBy>
  <cp:revision/>
  <dcterms:created xsi:type="dcterms:W3CDTF">2023-11-04T10:37:18Z</dcterms:created>
  <dcterms:modified xsi:type="dcterms:W3CDTF">2023-12-19T21:22:31Z</dcterms:modified>
  <cp:category/>
  <cp:contentStatus/>
</cp:coreProperties>
</file>