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ecc0a7aee32c85f/Ambiente de Trabalho/models/"/>
    </mc:Choice>
  </mc:AlternateContent>
  <xr:revisionPtr revIDLastSave="266" documentId="8_{6E851458-2676-4755-A7FB-096A4658BD19}" xr6:coauthVersionLast="47" xr6:coauthVersionMax="47" xr10:uidLastSave="{17755800-80A7-44C4-A586-90B26357A477}"/>
  <bookViews>
    <workbookView xWindow="-108" yWindow="-108" windowWidth="23256" windowHeight="12456" activeTab="1" xr2:uid="{A4A70DBC-3C28-4E61-80A9-7904B93EDC7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2" l="1"/>
  <c r="O6" i="2" s="1"/>
  <c r="P6" i="2" s="1"/>
  <c r="O5" i="2"/>
  <c r="P5" i="2" s="1"/>
  <c r="W6" i="2"/>
  <c r="O8" i="2"/>
  <c r="P8" i="2" s="1"/>
  <c r="Q8" i="2" s="1"/>
  <c r="R8" i="2" s="1"/>
  <c r="S8" i="2" s="1"/>
  <c r="T8" i="2" s="1"/>
  <c r="P21" i="2"/>
  <c r="Q21" i="2" s="1"/>
  <c r="R21" i="2" s="1"/>
  <c r="S21" i="2" s="1"/>
  <c r="T21" i="2" s="1"/>
  <c r="O21" i="2"/>
  <c r="N21" i="2"/>
  <c r="M21" i="2"/>
  <c r="L21" i="2"/>
  <c r="O16" i="2"/>
  <c r="P16" i="2" s="1"/>
  <c r="Q16" i="2" s="1"/>
  <c r="R16" i="2" s="1"/>
  <c r="S16" i="2" s="1"/>
  <c r="T16" i="2" s="1"/>
  <c r="N16" i="2"/>
  <c r="O10" i="2"/>
  <c r="P10" i="2" s="1"/>
  <c r="Q10" i="2" s="1"/>
  <c r="R10" i="2" s="1"/>
  <c r="S10" i="2" s="1"/>
  <c r="T10" i="2" s="1"/>
  <c r="N10" i="2"/>
  <c r="O13" i="2"/>
  <c r="P13" i="2" s="1"/>
  <c r="Q13" i="2" s="1"/>
  <c r="R13" i="2" s="1"/>
  <c r="S13" i="2" s="1"/>
  <c r="T13" i="2" s="1"/>
  <c r="N13" i="2"/>
  <c r="O12" i="2"/>
  <c r="P12" i="2" s="1"/>
  <c r="Q12" i="2" s="1"/>
  <c r="R12" i="2" s="1"/>
  <c r="S12" i="2" s="1"/>
  <c r="T12" i="2" s="1"/>
  <c r="N12" i="2"/>
  <c r="O11" i="2"/>
  <c r="P11" i="2" s="1"/>
  <c r="Q11" i="2" s="1"/>
  <c r="R11" i="2" s="1"/>
  <c r="S11" i="2" s="1"/>
  <c r="T11" i="2" s="1"/>
  <c r="N11" i="2"/>
  <c r="N8" i="2"/>
  <c r="N27" i="2"/>
  <c r="T26" i="2"/>
  <c r="S26" i="2"/>
  <c r="R26" i="2"/>
  <c r="Q26" i="2"/>
  <c r="P26" i="2"/>
  <c r="O26" i="2"/>
  <c r="N26" i="2"/>
  <c r="T25" i="2"/>
  <c r="S25" i="2"/>
  <c r="R25" i="2"/>
  <c r="Q25" i="2"/>
  <c r="P25" i="2"/>
  <c r="O25" i="2"/>
  <c r="N25" i="2"/>
  <c r="N5" i="2"/>
  <c r="O4" i="2"/>
  <c r="P4" i="2" s="1"/>
  <c r="Q4" i="2" s="1"/>
  <c r="R4" i="2" s="1"/>
  <c r="S4" i="2" s="1"/>
  <c r="T4" i="2" s="1"/>
  <c r="N4" i="2"/>
  <c r="O3" i="2"/>
  <c r="P3" i="2" s="1"/>
  <c r="N3" i="2"/>
  <c r="M28" i="2"/>
  <c r="M27" i="2"/>
  <c r="M26" i="2"/>
  <c r="M25" i="2"/>
  <c r="M24" i="2"/>
  <c r="M19" i="2"/>
  <c r="M17" i="2"/>
  <c r="M16" i="2"/>
  <c r="M13" i="2"/>
  <c r="M12" i="2"/>
  <c r="M14" i="2" s="1"/>
  <c r="M11" i="2"/>
  <c r="M10" i="2"/>
  <c r="M8" i="2"/>
  <c r="M6" i="2"/>
  <c r="M5" i="2"/>
  <c r="M4" i="2"/>
  <c r="M3" i="2"/>
  <c r="L19" i="2"/>
  <c r="L17" i="2"/>
  <c r="L16" i="2"/>
  <c r="L13" i="2"/>
  <c r="L12" i="2"/>
  <c r="L14" i="2" s="1"/>
  <c r="L11" i="2"/>
  <c r="L10" i="2"/>
  <c r="L8" i="2"/>
  <c r="L6" i="2"/>
  <c r="L5" i="2"/>
  <c r="L4" i="2"/>
  <c r="L7" i="2" s="1"/>
  <c r="L3" i="2"/>
  <c r="O2" i="2"/>
  <c r="P2" i="2" s="1"/>
  <c r="Q2" i="2" s="1"/>
  <c r="R2" i="2" s="1"/>
  <c r="S2" i="2" s="1"/>
  <c r="T2" i="2" s="1"/>
  <c r="N2" i="2"/>
  <c r="E16" i="2"/>
  <c r="E13" i="2"/>
  <c r="E14" i="2" s="1"/>
  <c r="I16" i="2"/>
  <c r="I13" i="2"/>
  <c r="I14" i="2" s="1"/>
  <c r="B16" i="2"/>
  <c r="B13" i="2"/>
  <c r="B14" i="2" s="1"/>
  <c r="C16" i="2"/>
  <c r="C13" i="2"/>
  <c r="C14" i="2" s="1"/>
  <c r="G16" i="2"/>
  <c r="G13" i="2"/>
  <c r="G14" i="2" s="1"/>
  <c r="D16" i="2"/>
  <c r="D13" i="2"/>
  <c r="D14" i="2" s="1"/>
  <c r="H16" i="2"/>
  <c r="H13" i="2"/>
  <c r="H14" i="2" s="1"/>
  <c r="J28" i="2"/>
  <c r="I28" i="2"/>
  <c r="H28" i="2"/>
  <c r="G28" i="2"/>
  <c r="F28" i="2"/>
  <c r="J27" i="2"/>
  <c r="I27" i="2"/>
  <c r="H27" i="2"/>
  <c r="G27" i="2"/>
  <c r="F27" i="2"/>
  <c r="J26" i="2"/>
  <c r="I26" i="2"/>
  <c r="H26" i="2"/>
  <c r="G26" i="2"/>
  <c r="F26" i="2"/>
  <c r="I25" i="2"/>
  <c r="H25" i="2"/>
  <c r="G25" i="2"/>
  <c r="F25" i="2"/>
  <c r="J25" i="2"/>
  <c r="E7" i="2"/>
  <c r="D7" i="2"/>
  <c r="D9" i="2" s="1"/>
  <c r="D29" i="2" s="1"/>
  <c r="C7" i="2"/>
  <c r="B7" i="2"/>
  <c r="B9" i="2" s="1"/>
  <c r="J7" i="2"/>
  <c r="J9" i="2" s="1"/>
  <c r="J29" i="2" s="1"/>
  <c r="I7" i="2"/>
  <c r="I9" i="2" s="1"/>
  <c r="H7" i="2"/>
  <c r="G7" i="2"/>
  <c r="F7" i="2"/>
  <c r="F9" i="2" s="1"/>
  <c r="F29" i="2" s="1"/>
  <c r="E36" i="2"/>
  <c r="D36" i="2"/>
  <c r="C36" i="2"/>
  <c r="B36" i="2"/>
  <c r="J36" i="2"/>
  <c r="I36" i="2"/>
  <c r="H36" i="2"/>
  <c r="G36" i="2"/>
  <c r="F36" i="2"/>
  <c r="F16" i="2"/>
  <c r="F13" i="2"/>
  <c r="F14" i="2" s="1"/>
  <c r="J16" i="2"/>
  <c r="J13" i="2"/>
  <c r="J14" i="2" s="1"/>
  <c r="B7" i="1"/>
  <c r="B4" i="1"/>
  <c r="Q5" i="2" l="1"/>
  <c r="P27" i="2"/>
  <c r="O27" i="2"/>
  <c r="N14" i="2"/>
  <c r="O14" i="2"/>
  <c r="P14" i="2"/>
  <c r="Q6" i="2"/>
  <c r="P28" i="2"/>
  <c r="O28" i="2"/>
  <c r="N28" i="2"/>
  <c r="N7" i="2"/>
  <c r="O7" i="2"/>
  <c r="O9" i="2" s="1"/>
  <c r="O29" i="2" s="1"/>
  <c r="Q3" i="2"/>
  <c r="P7" i="2"/>
  <c r="M7" i="2"/>
  <c r="M9" i="2" s="1"/>
  <c r="M29" i="2" s="1"/>
  <c r="L9" i="2"/>
  <c r="L29" i="2" s="1"/>
  <c r="G24" i="2"/>
  <c r="G9" i="2"/>
  <c r="G29" i="2" s="1"/>
  <c r="H24" i="2"/>
  <c r="D15" i="2"/>
  <c r="D18" i="2" s="1"/>
  <c r="D20" i="2" s="1"/>
  <c r="H9" i="2"/>
  <c r="H29" i="2" s="1"/>
  <c r="I24" i="2"/>
  <c r="C9" i="2"/>
  <c r="C29" i="2" s="1"/>
  <c r="F24" i="2"/>
  <c r="E9" i="2"/>
  <c r="E29" i="2" s="1"/>
  <c r="J24" i="2"/>
  <c r="J15" i="2"/>
  <c r="J30" i="2" s="1"/>
  <c r="B15" i="2"/>
  <c r="B18" i="2" s="1"/>
  <c r="B20" i="2" s="1"/>
  <c r="B31" i="2" s="1"/>
  <c r="I15" i="2"/>
  <c r="I18" i="2" s="1"/>
  <c r="I20" i="2" s="1"/>
  <c r="I31" i="2" s="1"/>
  <c r="I29" i="2"/>
  <c r="B29" i="2"/>
  <c r="F15" i="2"/>
  <c r="R5" i="2" l="1"/>
  <c r="Q27" i="2"/>
  <c r="Q14" i="2"/>
  <c r="R6" i="2"/>
  <c r="Q28" i="2"/>
  <c r="P9" i="2"/>
  <c r="P29" i="2" s="1"/>
  <c r="P24" i="2"/>
  <c r="N9" i="2"/>
  <c r="N29" i="2" s="1"/>
  <c r="O24" i="2"/>
  <c r="N24" i="2"/>
  <c r="O15" i="2"/>
  <c r="O18" i="2" s="1"/>
  <c r="R3" i="2"/>
  <c r="Q7" i="2"/>
  <c r="M15" i="2"/>
  <c r="M30" i="2" s="1"/>
  <c r="L15" i="2"/>
  <c r="L30" i="2" s="1"/>
  <c r="I30" i="2"/>
  <c r="G15" i="2"/>
  <c r="G18" i="2" s="1"/>
  <c r="G20" i="2" s="1"/>
  <c r="H15" i="2"/>
  <c r="C15" i="2"/>
  <c r="C30" i="2" s="1"/>
  <c r="D30" i="2"/>
  <c r="E15" i="2"/>
  <c r="E18" i="2" s="1"/>
  <c r="E20" i="2" s="1"/>
  <c r="I22" i="2"/>
  <c r="J18" i="2"/>
  <c r="J20" i="2" s="1"/>
  <c r="J22" i="2" s="1"/>
  <c r="B30" i="2"/>
  <c r="B22" i="2"/>
  <c r="F18" i="2"/>
  <c r="F20" i="2" s="1"/>
  <c r="F30" i="2"/>
  <c r="D31" i="2"/>
  <c r="D22" i="2"/>
  <c r="R27" i="2" l="1"/>
  <c r="S5" i="2"/>
  <c r="O19" i="2"/>
  <c r="O20" i="2" s="1"/>
  <c r="O22" i="2" s="1"/>
  <c r="R14" i="2"/>
  <c r="S6" i="2"/>
  <c r="R28" i="2"/>
  <c r="Q9" i="2"/>
  <c r="Q29" i="2" s="1"/>
  <c r="Q24" i="2"/>
  <c r="N15" i="2"/>
  <c r="N18" i="2" s="1"/>
  <c r="P15" i="2"/>
  <c r="P18" i="2" s="1"/>
  <c r="O30" i="2"/>
  <c r="S3" i="2"/>
  <c r="R7" i="2"/>
  <c r="M18" i="2"/>
  <c r="M20" i="2" s="1"/>
  <c r="M22" i="2" s="1"/>
  <c r="L18" i="2"/>
  <c r="L20" i="2" s="1"/>
  <c r="L22" i="2" s="1"/>
  <c r="E30" i="2"/>
  <c r="G30" i="2"/>
  <c r="H18" i="2"/>
  <c r="H20" i="2" s="1"/>
  <c r="H30" i="2"/>
  <c r="C18" i="2"/>
  <c r="C20" i="2" s="1"/>
  <c r="C31" i="2" s="1"/>
  <c r="J31" i="2"/>
  <c r="E31" i="2"/>
  <c r="E22" i="2"/>
  <c r="G31" i="2"/>
  <c r="G22" i="2"/>
  <c r="F22" i="2"/>
  <c r="F31" i="2"/>
  <c r="T5" i="2" l="1"/>
  <c r="T27" i="2" s="1"/>
  <c r="S27" i="2"/>
  <c r="O31" i="2"/>
  <c r="N19" i="2"/>
  <c r="N20" i="2" s="1"/>
  <c r="P19" i="2"/>
  <c r="P20" i="2" s="1"/>
  <c r="T14" i="2"/>
  <c r="S14" i="2"/>
  <c r="N30" i="2"/>
  <c r="Q15" i="2"/>
  <c r="Q18" i="2" s="1"/>
  <c r="P30" i="2"/>
  <c r="R9" i="2"/>
  <c r="R29" i="2" s="1"/>
  <c r="R24" i="2"/>
  <c r="T6" i="2"/>
  <c r="T28" i="2" s="1"/>
  <c r="S28" i="2"/>
  <c r="T3" i="2"/>
  <c r="S7" i="2"/>
  <c r="M31" i="2"/>
  <c r="L31" i="2"/>
  <c r="C22" i="2"/>
  <c r="H31" i="2"/>
  <c r="H22" i="2"/>
  <c r="T7" i="2" l="1"/>
  <c r="T24" i="2" s="1"/>
  <c r="N31" i="2"/>
  <c r="P31" i="2"/>
  <c r="P22" i="2"/>
  <c r="N22" i="2"/>
  <c r="Q19" i="2"/>
  <c r="Q20" i="2" s="1"/>
  <c r="Q30" i="2"/>
  <c r="R15" i="2"/>
  <c r="R30" i="2" s="1"/>
  <c r="S9" i="2"/>
  <c r="S15" i="2" s="1"/>
  <c r="S24" i="2"/>
  <c r="T9" i="2"/>
  <c r="T29" i="2" s="1"/>
  <c r="Q22" i="2" l="1"/>
  <c r="Q31" i="2"/>
  <c r="R18" i="2"/>
  <c r="S29" i="2"/>
  <c r="T15" i="2"/>
  <c r="T30" i="2" s="1"/>
  <c r="S30" i="2"/>
  <c r="S18" i="2"/>
  <c r="R19" i="2" l="1"/>
  <c r="R20" i="2" s="1"/>
  <c r="S19" i="2"/>
  <c r="S20" i="2" s="1"/>
  <c r="T18" i="2"/>
  <c r="S22" i="2" l="1"/>
  <c r="S31" i="2"/>
  <c r="R31" i="2"/>
  <c r="R22" i="2"/>
  <c r="T19" i="2"/>
  <c r="T20" i="2" s="1"/>
  <c r="U20" i="2" s="1"/>
  <c r="V20" i="2" s="1"/>
  <c r="W20" i="2" s="1"/>
  <c r="X20" i="2" s="1"/>
  <c r="Y20" i="2" s="1"/>
  <c r="Z20" i="2" s="1"/>
  <c r="AA20" i="2" s="1"/>
  <c r="AB20" i="2" s="1"/>
  <c r="AC20" i="2" s="1"/>
  <c r="AD20" i="2" s="1"/>
  <c r="AE20" i="2" s="1"/>
  <c r="AF20" i="2" s="1"/>
  <c r="AG20" i="2" s="1"/>
  <c r="AH20" i="2" s="1"/>
  <c r="AI20" i="2" s="1"/>
  <c r="AJ20" i="2" s="1"/>
  <c r="AK20" i="2" s="1"/>
  <c r="AL20" i="2" s="1"/>
  <c r="AM20" i="2" s="1"/>
  <c r="AN20" i="2" s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AY20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BJ20" i="2" s="1"/>
  <c r="BK20" i="2" s="1"/>
  <c r="BL20" i="2" s="1"/>
  <c r="BM20" i="2" s="1"/>
  <c r="BN20" i="2" s="1"/>
  <c r="BO20" i="2" s="1"/>
  <c r="BP20" i="2" s="1"/>
  <c r="BQ20" i="2" s="1"/>
  <c r="BR20" i="2" s="1"/>
  <c r="BS20" i="2" s="1"/>
  <c r="W5" i="2" l="1"/>
  <c r="W7" i="2" s="1"/>
  <c r="W8" i="2" s="1"/>
  <c r="T31" i="2"/>
  <c r="T22" i="2"/>
</calcChain>
</file>

<file path=xl/sharedStrings.xml><?xml version="1.0" encoding="utf-8"?>
<sst xmlns="http://schemas.openxmlformats.org/spreadsheetml/2006/main" count="55" uniqueCount="49">
  <si>
    <t>ticket</t>
  </si>
  <si>
    <t>price</t>
  </si>
  <si>
    <t>shares</t>
  </si>
  <si>
    <t>mc</t>
  </si>
  <si>
    <t>cash</t>
  </si>
  <si>
    <t>debt</t>
  </si>
  <si>
    <t>ev</t>
  </si>
  <si>
    <t>MSCI</t>
  </si>
  <si>
    <t>Q1 2022</t>
  </si>
  <si>
    <t>Q2 2022</t>
  </si>
  <si>
    <t>Q3 2022</t>
  </si>
  <si>
    <t>Q4 2022</t>
  </si>
  <si>
    <t>Q1 2023</t>
  </si>
  <si>
    <t>Q2 2023</t>
  </si>
  <si>
    <t>Q3 2023</t>
  </si>
  <si>
    <t>Q4 2023</t>
  </si>
  <si>
    <t>Q1 2024</t>
  </si>
  <si>
    <t>Revenue</t>
  </si>
  <si>
    <t>Cost of revenue</t>
  </si>
  <si>
    <t>Gross Profit</t>
  </si>
  <si>
    <t>S&amp;M</t>
  </si>
  <si>
    <t>R&amp;D</t>
  </si>
  <si>
    <t>G&amp;A</t>
  </si>
  <si>
    <t>D&amp;A</t>
  </si>
  <si>
    <t>Total Opex</t>
  </si>
  <si>
    <t>Operating Income</t>
  </si>
  <si>
    <t>Net Interest</t>
  </si>
  <si>
    <t>Other expenses</t>
  </si>
  <si>
    <t>Pretax Income</t>
  </si>
  <si>
    <t>Taxes</t>
  </si>
  <si>
    <t>Net Income</t>
  </si>
  <si>
    <t>Shares</t>
  </si>
  <si>
    <t>EPS</t>
  </si>
  <si>
    <t>Revenue Y/Y</t>
  </si>
  <si>
    <t>Gross Margin</t>
  </si>
  <si>
    <t>Operating Margin</t>
  </si>
  <si>
    <t>Net Margin</t>
  </si>
  <si>
    <t>CFFO</t>
  </si>
  <si>
    <t>CAPEX</t>
  </si>
  <si>
    <t>SBC</t>
  </si>
  <si>
    <t>FCF</t>
  </si>
  <si>
    <t>Index</t>
  </si>
  <si>
    <t>Analytics</t>
  </si>
  <si>
    <t>ESG and Climate</t>
  </si>
  <si>
    <t>Others - Private assets</t>
  </si>
  <si>
    <t xml:space="preserve">Discount </t>
  </si>
  <si>
    <t>Maturity</t>
  </si>
  <si>
    <t>NPV</t>
  </si>
  <si>
    <t>Net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</si>
</sst>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[$$-409]* #,##0.00_ ;_-[$$-409]* \-#,##0.00\ ;_-[$$-409]* &quot;-&quot;??_ ;_-@_ 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9" fontId="0" fillId="0" borderId="0" xfId="0" applyNumberFormat="1"/>
    <xf numFmtId="3" fontId="0" fillId="0" borderId="0" xfId="0" applyNumberFormat="1"/>
    <xf numFmtId="3" fontId="1" fillId="0" borderId="0" xfId="0" applyNumberFormat="1" applyFont="1"/>
    <xf numFmtId="164" fontId="0" fillId="0" borderId="0" xfId="0" applyNumberFormat="1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601980</xdr:colOff>
      <xdr:row>0</xdr:row>
      <xdr:rowOff>129540</xdr:rowOff>
    </xdr:from>
    <xdr:to>
      <xdr:col>12</xdr:col>
      <xdr:colOff>601980</xdr:colOff>
      <xdr:row>36</xdr:row>
      <xdr:rowOff>121920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3773042-A2E5-2395-79AC-47A573646659}"/>
            </a:ext>
          </a:extLst>
        </xdr:cNvPr>
        <xdr:cNvCxnSpPr/>
      </xdr:nvCxnSpPr>
      <xdr:spPr>
        <a:xfrm>
          <a:off x="8694420" y="129540"/>
          <a:ext cx="0" cy="657606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6E966-F7F3-4C28-A1DD-9BB8D3431D57}">
  <dimension ref="A1:B7"/>
  <sheetViews>
    <sheetView workbookViewId="0">
      <selection activeCell="B8" sqref="B8"/>
    </sheetView>
  </sheetViews>
  <sheetFormatPr defaultRowHeight="14.4" x14ac:dyDescent="0.3"/>
  <sheetData>
    <row r="1" spans="1:2" x14ac:dyDescent="0.3">
      <c r="A1" t="s">
        <v>0</v>
      </c>
      <c r="B1" t="s">
        <v>7</v>
      </c>
    </row>
    <row r="2" spans="1:2" x14ac:dyDescent="0.3">
      <c r="A2" t="s">
        <v>1</v>
      </c>
      <c r="B2">
        <v>444</v>
      </c>
    </row>
    <row r="3" spans="1:2" x14ac:dyDescent="0.3">
      <c r="A3" t="s">
        <v>2</v>
      </c>
      <c r="B3">
        <v>79.224200999999994</v>
      </c>
    </row>
    <row r="4" spans="1:2" x14ac:dyDescent="0.3">
      <c r="A4" t="s">
        <v>3</v>
      </c>
      <c r="B4">
        <f>+B2*B3</f>
        <v>35175.545243999994</v>
      </c>
    </row>
    <row r="5" spans="1:2" x14ac:dyDescent="0.3">
      <c r="A5" t="s">
        <v>4</v>
      </c>
      <c r="B5">
        <v>519.31500000000005</v>
      </c>
    </row>
    <row r="6" spans="1:2" x14ac:dyDescent="0.3">
      <c r="A6" t="s">
        <v>5</v>
      </c>
      <c r="B6">
        <v>4507.6859999999997</v>
      </c>
    </row>
    <row r="7" spans="1:2" x14ac:dyDescent="0.3">
      <c r="A7" t="s">
        <v>6</v>
      </c>
      <c r="B7">
        <f>+B4-B5+B6</f>
        <v>39163.916243999993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4F702-4C67-4729-9FBB-2D7C722A8B03}">
  <dimension ref="A2:BS36"/>
  <sheetViews>
    <sheetView tabSelected="1" workbookViewId="0">
      <pane xSplit="1" ySplit="2" topLeftCell="H3" activePane="bottomRight" state="frozen"/>
      <selection pane="topRight" activeCell="B1" sqref="B1"/>
      <selection pane="bottomLeft" activeCell="A3" sqref="A3"/>
      <selection pane="bottomRight" activeCell="N7" sqref="N7"/>
    </sheetView>
  </sheetViews>
  <sheetFormatPr defaultRowHeight="14.4" x14ac:dyDescent="0.3"/>
  <cols>
    <col min="1" max="1" width="20.21875" bestFit="1" customWidth="1"/>
    <col min="23" max="23" width="11.5546875" bestFit="1" customWidth="1"/>
  </cols>
  <sheetData>
    <row r="2" spans="1:23" x14ac:dyDescent="0.3"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L2" s="1">
        <v>2022</v>
      </c>
      <c r="M2" s="1">
        <v>2023</v>
      </c>
      <c r="N2" s="1">
        <f>+M2+1</f>
        <v>2024</v>
      </c>
      <c r="O2" s="1">
        <f t="shared" ref="O2:T2" si="0">+N2+1</f>
        <v>2025</v>
      </c>
      <c r="P2" s="1">
        <f t="shared" si="0"/>
        <v>2026</v>
      </c>
      <c r="Q2" s="1">
        <f t="shared" si="0"/>
        <v>2027</v>
      </c>
      <c r="R2" s="1">
        <f t="shared" si="0"/>
        <v>2028</v>
      </c>
      <c r="S2" s="1">
        <f t="shared" si="0"/>
        <v>2029</v>
      </c>
      <c r="T2" s="1">
        <f t="shared" si="0"/>
        <v>2030</v>
      </c>
    </row>
    <row r="3" spans="1:23" x14ac:dyDescent="0.3">
      <c r="A3" t="s">
        <v>41</v>
      </c>
      <c r="B3" s="3">
        <v>330.75900000000001</v>
      </c>
      <c r="C3" s="3">
        <v>320.94900000000001</v>
      </c>
      <c r="D3" s="3">
        <v>322.24</v>
      </c>
      <c r="E3" s="3">
        <v>329.26100000000002</v>
      </c>
      <c r="F3" s="3">
        <v>339.38200000000001</v>
      </c>
      <c r="G3" s="3">
        <v>362.31599999999997</v>
      </c>
      <c r="H3" s="3">
        <v>362.12200000000001</v>
      </c>
      <c r="I3" s="3">
        <v>387.995</v>
      </c>
      <c r="J3" s="3">
        <v>373.87200000000001</v>
      </c>
      <c r="L3" s="3">
        <f>+SUM(B3:E3)</f>
        <v>1303.2090000000001</v>
      </c>
      <c r="M3" s="3">
        <f>+SUM(F3:I3)</f>
        <v>1451.8150000000001</v>
      </c>
      <c r="N3" s="3">
        <f>+M3*1.1</f>
        <v>1596.9965000000002</v>
      </c>
      <c r="O3" s="3">
        <f t="shared" ref="O3:T3" si="1">+N3*1.1</f>
        <v>1756.6961500000004</v>
      </c>
      <c r="P3" s="3">
        <f t="shared" si="1"/>
        <v>1932.3657650000007</v>
      </c>
      <c r="Q3" s="3">
        <f t="shared" si="1"/>
        <v>2125.6023415000009</v>
      </c>
      <c r="R3" s="3">
        <f t="shared" si="1"/>
        <v>2338.1625756500011</v>
      </c>
      <c r="S3" s="3">
        <f t="shared" si="1"/>
        <v>2571.9788332150015</v>
      </c>
      <c r="T3" s="3">
        <f t="shared" si="1"/>
        <v>2829.1767165365018</v>
      </c>
      <c r="V3" t="s">
        <v>45</v>
      </c>
      <c r="W3" s="2">
        <v>0.08</v>
      </c>
    </row>
    <row r="4" spans="1:23" x14ac:dyDescent="0.3">
      <c r="A4" t="s">
        <v>42</v>
      </c>
      <c r="B4" s="3">
        <v>139.797</v>
      </c>
      <c r="C4" s="3">
        <v>141.684</v>
      </c>
      <c r="D4" s="3">
        <v>144.91499999999999</v>
      </c>
      <c r="E4" s="3">
        <v>149.71100000000001</v>
      </c>
      <c r="F4" s="3">
        <v>147.07</v>
      </c>
      <c r="G4" s="3">
        <v>149.881</v>
      </c>
      <c r="H4" s="3">
        <v>154.268</v>
      </c>
      <c r="I4" s="3">
        <v>164.73699999999999</v>
      </c>
      <c r="J4" s="3">
        <v>163.96600000000001</v>
      </c>
      <c r="L4" s="3">
        <f t="shared" ref="L4:L6" si="2">+SUM(B4:E4)</f>
        <v>576.10699999999997</v>
      </c>
      <c r="M4" s="3">
        <f t="shared" ref="M4:M6" si="3">+SUM(F4:I4)</f>
        <v>615.95600000000002</v>
      </c>
      <c r="N4" s="3">
        <f>+M4*1.075</f>
        <v>662.15269999999998</v>
      </c>
      <c r="O4" s="3">
        <f t="shared" ref="O4:T4" si="4">+N4*1.075</f>
        <v>711.81415249999998</v>
      </c>
      <c r="P4" s="3">
        <f t="shared" si="4"/>
        <v>765.20021393749994</v>
      </c>
      <c r="Q4" s="3">
        <f t="shared" si="4"/>
        <v>822.59022998281239</v>
      </c>
      <c r="R4" s="3">
        <f t="shared" si="4"/>
        <v>884.28449723152323</v>
      </c>
      <c r="S4" s="3">
        <f t="shared" si="4"/>
        <v>950.60583452388744</v>
      </c>
      <c r="T4" s="3">
        <f t="shared" si="4"/>
        <v>1021.9012721131789</v>
      </c>
      <c r="V4" t="s">
        <v>46</v>
      </c>
      <c r="W4" s="2">
        <v>0.03</v>
      </c>
    </row>
    <row r="5" spans="1:23" x14ac:dyDescent="0.3">
      <c r="A5" t="s">
        <v>43</v>
      </c>
      <c r="B5" s="3">
        <v>52.029000000000003</v>
      </c>
      <c r="C5" s="3">
        <v>55.128</v>
      </c>
      <c r="D5" s="3">
        <v>57.594999999999999</v>
      </c>
      <c r="E5" s="3">
        <v>63.558999999999997</v>
      </c>
      <c r="F5" s="3">
        <v>67.058000000000007</v>
      </c>
      <c r="G5" s="3">
        <v>71.218999999999994</v>
      </c>
      <c r="H5" s="3">
        <v>73.037999999999997</v>
      </c>
      <c r="I5" s="3">
        <v>76.253</v>
      </c>
      <c r="J5" s="3">
        <v>77.884</v>
      </c>
      <c r="L5" s="3">
        <f t="shared" si="2"/>
        <v>228.31100000000001</v>
      </c>
      <c r="M5" s="3">
        <f t="shared" si="3"/>
        <v>287.56799999999998</v>
      </c>
      <c r="N5" s="3">
        <f>+M5*1.2</f>
        <v>345.08159999999998</v>
      </c>
      <c r="O5" s="3">
        <f t="shared" ref="O5:T5" si="5">+N5*1.2</f>
        <v>414.09791999999999</v>
      </c>
      <c r="P5" s="3">
        <f t="shared" si="5"/>
        <v>496.91750399999995</v>
      </c>
      <c r="Q5" s="3">
        <f t="shared" si="5"/>
        <v>596.30100479999987</v>
      </c>
      <c r="R5" s="3">
        <f t="shared" si="5"/>
        <v>715.56120575999978</v>
      </c>
      <c r="S5" s="3">
        <f t="shared" si="5"/>
        <v>858.67344691199969</v>
      </c>
      <c r="T5" s="3">
        <f t="shared" si="5"/>
        <v>1030.4081362943996</v>
      </c>
      <c r="V5" t="s">
        <v>47</v>
      </c>
      <c r="W5" s="5">
        <f>+NPV(W3,N20:BS20)</f>
        <v>35905.612990691225</v>
      </c>
    </row>
    <row r="6" spans="1:23" x14ac:dyDescent="0.3">
      <c r="A6" t="s">
        <v>44</v>
      </c>
      <c r="B6" s="3">
        <v>37.36</v>
      </c>
      <c r="C6" s="3">
        <v>34.045000000000002</v>
      </c>
      <c r="D6" s="3">
        <v>35.889000000000003</v>
      </c>
      <c r="E6" s="3">
        <v>33.677</v>
      </c>
      <c r="F6" s="3">
        <v>38.707999999999998</v>
      </c>
      <c r="G6" s="3">
        <v>37.741</v>
      </c>
      <c r="H6" s="3">
        <v>36.011000000000003</v>
      </c>
      <c r="I6" s="3">
        <v>61.121000000000002</v>
      </c>
      <c r="J6" s="3">
        <v>64.242999999999995</v>
      </c>
      <c r="L6" s="3">
        <f t="shared" si="2"/>
        <v>140.971</v>
      </c>
      <c r="M6" s="3">
        <f t="shared" si="3"/>
        <v>173.58100000000002</v>
      </c>
      <c r="N6" s="3">
        <f>+M6*1.12</f>
        <v>194.41072000000003</v>
      </c>
      <c r="O6" s="3">
        <f t="shared" ref="O6:T6" si="6">+N6*1.1</f>
        <v>213.85179200000005</v>
      </c>
      <c r="P6" s="3">
        <f t="shared" si="6"/>
        <v>235.23697120000006</v>
      </c>
      <c r="Q6" s="3">
        <f t="shared" si="6"/>
        <v>258.76066832000009</v>
      </c>
      <c r="R6" s="3">
        <f t="shared" si="6"/>
        <v>284.63673515200014</v>
      </c>
      <c r="S6" s="3">
        <f t="shared" si="6"/>
        <v>313.10040866720016</v>
      </c>
      <c r="T6" s="3">
        <f t="shared" si="6"/>
        <v>344.4104495339202</v>
      </c>
      <c r="V6" t="s">
        <v>48</v>
      </c>
      <c r="W6" s="5">
        <f>+Sheet1!B5-Sheet1!B6</f>
        <v>-3988.3709999999996</v>
      </c>
    </row>
    <row r="7" spans="1:23" x14ac:dyDescent="0.3">
      <c r="A7" s="1" t="s">
        <v>17</v>
      </c>
      <c r="B7" s="4">
        <f t="shared" ref="B7:E7" si="7">+B3+B4+B5+B6</f>
        <v>559.94500000000005</v>
      </c>
      <c r="C7" s="4">
        <f t="shared" si="7"/>
        <v>551.80600000000004</v>
      </c>
      <c r="D7" s="4">
        <f t="shared" si="7"/>
        <v>560.63900000000001</v>
      </c>
      <c r="E7" s="4">
        <f t="shared" si="7"/>
        <v>576.20800000000008</v>
      </c>
      <c r="F7" s="4">
        <f>+F3+F4+F5+F6</f>
        <v>592.21799999999996</v>
      </c>
      <c r="G7" s="4">
        <f t="shared" ref="G7:T7" si="8">+G3+G4+G5+G6</f>
        <v>621.15699999999993</v>
      </c>
      <c r="H7" s="4">
        <f t="shared" si="8"/>
        <v>625.43899999999996</v>
      </c>
      <c r="I7" s="4">
        <f t="shared" si="8"/>
        <v>690.10599999999999</v>
      </c>
      <c r="J7" s="4">
        <f t="shared" si="8"/>
        <v>679.96499999999992</v>
      </c>
      <c r="L7" s="4">
        <f t="shared" si="8"/>
        <v>2248.598</v>
      </c>
      <c r="M7" s="4">
        <f t="shared" si="8"/>
        <v>2528.92</v>
      </c>
      <c r="N7" s="4">
        <f t="shared" si="8"/>
        <v>2798.6415200000001</v>
      </c>
      <c r="O7" s="4">
        <f t="shared" si="8"/>
        <v>3096.4600145000004</v>
      </c>
      <c r="P7" s="4">
        <f t="shared" si="8"/>
        <v>3429.7204541375004</v>
      </c>
      <c r="Q7" s="4">
        <f t="shared" si="8"/>
        <v>3803.2542446028128</v>
      </c>
      <c r="R7" s="4">
        <f t="shared" si="8"/>
        <v>4222.6450137935244</v>
      </c>
      <c r="S7" s="4">
        <f t="shared" si="8"/>
        <v>4694.3585233180893</v>
      </c>
      <c r="T7" s="4">
        <f t="shared" si="8"/>
        <v>5225.8965744779998</v>
      </c>
      <c r="V7" t="s">
        <v>6</v>
      </c>
      <c r="W7" s="6">
        <f>+W5+W6</f>
        <v>31917.241990691226</v>
      </c>
    </row>
    <row r="8" spans="1:23" x14ac:dyDescent="0.3">
      <c r="A8" t="s">
        <v>18</v>
      </c>
      <c r="B8" s="3">
        <v>102.771</v>
      </c>
      <c r="C8" s="3">
        <v>100.768</v>
      </c>
      <c r="D8" s="3">
        <v>98.418000000000006</v>
      </c>
      <c r="E8" s="3">
        <v>102.384</v>
      </c>
      <c r="F8" s="3">
        <v>108.64700000000001</v>
      </c>
      <c r="G8" s="3">
        <v>110.066</v>
      </c>
      <c r="H8" s="3">
        <v>105.31100000000001</v>
      </c>
      <c r="I8" s="3">
        <v>122.557</v>
      </c>
      <c r="J8" s="3">
        <v>128.51400000000001</v>
      </c>
      <c r="L8" s="3">
        <f>+SUM(B8:E8)</f>
        <v>404.34100000000001</v>
      </c>
      <c r="M8" s="3">
        <f>+SUM(F8:I8)</f>
        <v>446.58100000000002</v>
      </c>
      <c r="N8" s="3">
        <f>+M8*1.1</f>
        <v>491.23910000000006</v>
      </c>
      <c r="O8" s="3">
        <f t="shared" ref="O8:T8" si="9">+N8*1.1</f>
        <v>540.36301000000014</v>
      </c>
      <c r="P8" s="3">
        <f t="shared" si="9"/>
        <v>594.39931100000024</v>
      </c>
      <c r="Q8" s="3">
        <f t="shared" si="9"/>
        <v>653.83924210000032</v>
      </c>
      <c r="R8" s="3">
        <f t="shared" si="9"/>
        <v>719.22316631000047</v>
      </c>
      <c r="S8" s="3">
        <f t="shared" si="9"/>
        <v>791.14548294100052</v>
      </c>
      <c r="T8" s="3">
        <f t="shared" si="9"/>
        <v>870.26003123510066</v>
      </c>
      <c r="V8" t="s">
        <v>1</v>
      </c>
      <c r="W8" s="5">
        <f>+W7/Sheet1!B3</f>
        <v>402.87237470140252</v>
      </c>
    </row>
    <row r="9" spans="1:23" x14ac:dyDescent="0.3">
      <c r="A9" s="1" t="s">
        <v>19</v>
      </c>
      <c r="B9" s="4">
        <f t="shared" ref="B9:I9" si="10">+B7-B8</f>
        <v>457.17400000000004</v>
      </c>
      <c r="C9" s="4">
        <f t="shared" si="10"/>
        <v>451.03800000000001</v>
      </c>
      <c r="D9" s="4">
        <f t="shared" si="10"/>
        <v>462.221</v>
      </c>
      <c r="E9" s="4">
        <f t="shared" si="10"/>
        <v>473.82400000000007</v>
      </c>
      <c r="F9" s="4">
        <f t="shared" si="10"/>
        <v>483.57099999999997</v>
      </c>
      <c r="G9" s="4">
        <f t="shared" si="10"/>
        <v>511.09099999999989</v>
      </c>
      <c r="H9" s="4">
        <f t="shared" si="10"/>
        <v>520.12799999999993</v>
      </c>
      <c r="I9" s="4">
        <f t="shared" si="10"/>
        <v>567.54899999999998</v>
      </c>
      <c r="J9" s="4">
        <f>+J7-J8</f>
        <v>551.45099999999991</v>
      </c>
      <c r="L9" s="4">
        <f t="shared" ref="L9:T9" si="11">+L7-L8</f>
        <v>1844.2570000000001</v>
      </c>
      <c r="M9" s="4">
        <f t="shared" si="11"/>
        <v>2082.3389999999999</v>
      </c>
      <c r="N9" s="4">
        <f t="shared" si="11"/>
        <v>2307.4024199999999</v>
      </c>
      <c r="O9" s="4">
        <f t="shared" si="11"/>
        <v>2556.0970045000004</v>
      </c>
      <c r="P9" s="4">
        <f t="shared" si="11"/>
        <v>2835.3211431375003</v>
      </c>
      <c r="Q9" s="4">
        <f t="shared" si="11"/>
        <v>3149.4150025028125</v>
      </c>
      <c r="R9" s="4">
        <f t="shared" si="11"/>
        <v>3503.4218474835238</v>
      </c>
      <c r="S9" s="4">
        <f t="shared" si="11"/>
        <v>3903.2130403770889</v>
      </c>
      <c r="T9" s="4">
        <f t="shared" si="11"/>
        <v>4355.6365432428993</v>
      </c>
    </row>
    <row r="10" spans="1:23" x14ac:dyDescent="0.3">
      <c r="A10" t="s">
        <v>20</v>
      </c>
      <c r="B10" s="3">
        <v>66.052999999999997</v>
      </c>
      <c r="C10" s="3">
        <v>61.073</v>
      </c>
      <c r="D10" s="3">
        <v>65.545000000000002</v>
      </c>
      <c r="E10" s="3">
        <v>71.912000000000006</v>
      </c>
      <c r="F10" s="3">
        <v>66.474999999999994</v>
      </c>
      <c r="G10" s="3">
        <v>67.988</v>
      </c>
      <c r="H10" s="3">
        <v>66.581000000000003</v>
      </c>
      <c r="I10" s="3">
        <v>75.16</v>
      </c>
      <c r="J10" s="3">
        <v>72.168000000000006</v>
      </c>
      <c r="L10" s="3">
        <f t="shared" ref="L10:L13" si="12">+SUM(B10:E10)</f>
        <v>264.58299999999997</v>
      </c>
      <c r="M10" s="3">
        <f t="shared" ref="M10:M13" si="13">+SUM(F10:I10)</f>
        <v>276.20399999999995</v>
      </c>
      <c r="N10" s="3">
        <f>+M10*1.05</f>
        <v>290.01419999999996</v>
      </c>
      <c r="O10" s="3">
        <f t="shared" ref="O10:T10" si="14">+N10*1.05</f>
        <v>304.51490999999999</v>
      </c>
      <c r="P10" s="3">
        <f t="shared" si="14"/>
        <v>319.7406555</v>
      </c>
      <c r="Q10" s="3">
        <f t="shared" si="14"/>
        <v>335.72768827499999</v>
      </c>
      <c r="R10" s="3">
        <f t="shared" si="14"/>
        <v>352.51407268874999</v>
      </c>
      <c r="S10" s="3">
        <f t="shared" si="14"/>
        <v>370.1397763231875</v>
      </c>
      <c r="T10" s="3">
        <f t="shared" si="14"/>
        <v>388.64676513934688</v>
      </c>
    </row>
    <row r="11" spans="1:23" x14ac:dyDescent="0.3">
      <c r="A11" t="s">
        <v>21</v>
      </c>
      <c r="B11" s="3">
        <v>28.321999999999999</v>
      </c>
      <c r="C11" s="3">
        <v>23.916</v>
      </c>
      <c r="D11" s="3">
        <v>25.940999999999999</v>
      </c>
      <c r="E11" s="3">
        <v>29.026</v>
      </c>
      <c r="F11" s="3">
        <v>31.323</v>
      </c>
      <c r="G11" s="3">
        <v>30.14</v>
      </c>
      <c r="H11" s="3">
        <v>31.437999999999999</v>
      </c>
      <c r="I11" s="3">
        <v>39.22</v>
      </c>
      <c r="J11" s="3">
        <v>40.524999999999999</v>
      </c>
      <c r="L11" s="3">
        <f t="shared" si="12"/>
        <v>107.205</v>
      </c>
      <c r="M11" s="3">
        <f t="shared" si="13"/>
        <v>132.12099999999998</v>
      </c>
      <c r="N11" s="3">
        <f>+M11*1.08</f>
        <v>142.69067999999999</v>
      </c>
      <c r="O11" s="3">
        <f t="shared" ref="O11:T11" si="15">+N11*1.08</f>
        <v>154.1059344</v>
      </c>
      <c r="P11" s="3">
        <f t="shared" si="15"/>
        <v>166.434409152</v>
      </c>
      <c r="Q11" s="3">
        <f t="shared" si="15"/>
        <v>179.74916188416</v>
      </c>
      <c r="R11" s="3">
        <f t="shared" si="15"/>
        <v>194.12909483489281</v>
      </c>
      <c r="S11" s="3">
        <f t="shared" si="15"/>
        <v>209.65942242168424</v>
      </c>
      <c r="T11" s="3">
        <f t="shared" si="15"/>
        <v>226.43217621541899</v>
      </c>
    </row>
    <row r="12" spans="1:23" x14ac:dyDescent="0.3">
      <c r="A12" t="s">
        <v>22</v>
      </c>
      <c r="B12" s="3">
        <v>45.567</v>
      </c>
      <c r="C12" s="3">
        <v>36.723999999999997</v>
      </c>
      <c r="D12" s="3">
        <v>30.702000000000002</v>
      </c>
      <c r="E12" s="3">
        <v>33.863999999999997</v>
      </c>
      <c r="F12" s="3">
        <v>41.043999999999997</v>
      </c>
      <c r="G12" s="3">
        <v>35.656999999999996</v>
      </c>
      <c r="H12" s="3">
        <v>36.826000000000001</v>
      </c>
      <c r="I12" s="3">
        <v>40.44</v>
      </c>
      <c r="J12" s="3">
        <v>56.691000000000003</v>
      </c>
      <c r="L12" s="3">
        <f t="shared" si="12"/>
        <v>146.857</v>
      </c>
      <c r="M12" s="3">
        <f t="shared" si="13"/>
        <v>153.96699999999998</v>
      </c>
      <c r="N12" s="3">
        <f>+M12*1.05</f>
        <v>161.66534999999999</v>
      </c>
      <c r="O12" s="3">
        <f t="shared" ref="O12:T12" si="16">+N12*1.05</f>
        <v>169.74861749999999</v>
      </c>
      <c r="P12" s="3">
        <f t="shared" si="16"/>
        <v>178.236048375</v>
      </c>
      <c r="Q12" s="3">
        <f t="shared" si="16"/>
        <v>187.14785079375</v>
      </c>
      <c r="R12" s="3">
        <f t="shared" si="16"/>
        <v>196.50524333343751</v>
      </c>
      <c r="S12" s="3">
        <f t="shared" si="16"/>
        <v>206.33050550010938</v>
      </c>
      <c r="T12" s="3">
        <f t="shared" si="16"/>
        <v>216.64703077511487</v>
      </c>
    </row>
    <row r="13" spans="1:23" x14ac:dyDescent="0.3">
      <c r="A13" t="s">
        <v>23</v>
      </c>
      <c r="B13" s="3">
        <f>21.72+6.534</f>
        <v>28.253999999999998</v>
      </c>
      <c r="C13" s="3">
        <f>22.179+6.765</f>
        <v>28.943999999999999</v>
      </c>
      <c r="D13" s="3">
        <f>23.375+7.127</f>
        <v>30.501999999999999</v>
      </c>
      <c r="E13" s="3">
        <f>23.805+6.467</f>
        <v>30.271999999999998</v>
      </c>
      <c r="F13" s="3">
        <f>24.667+5.46</f>
        <v>30.127000000000002</v>
      </c>
      <c r="G13" s="3">
        <f>26.154+5.199</f>
        <v>31.353000000000002</v>
      </c>
      <c r="H13" s="3">
        <f>26.722+5.252</f>
        <v>31.974</v>
      </c>
      <c r="I13" s="3">
        <f>36.886+5.098</f>
        <v>41.984000000000002</v>
      </c>
      <c r="J13" s="3">
        <f>38.604+4.081</f>
        <v>42.685000000000002</v>
      </c>
      <c r="L13" s="3">
        <f t="shared" si="12"/>
        <v>117.97199999999998</v>
      </c>
      <c r="M13" s="3">
        <f t="shared" si="13"/>
        <v>135.43800000000002</v>
      </c>
      <c r="N13" s="3">
        <f>+M13*1.04</f>
        <v>140.85552000000001</v>
      </c>
      <c r="O13" s="3">
        <f t="shared" ref="O13:T13" si="17">+N13*1.04</f>
        <v>146.48974080000002</v>
      </c>
      <c r="P13" s="3">
        <f t="shared" si="17"/>
        <v>152.34933043200002</v>
      </c>
      <c r="Q13" s="3">
        <f t="shared" si="17"/>
        <v>158.44330364928001</v>
      </c>
      <c r="R13" s="3">
        <f t="shared" si="17"/>
        <v>164.78103579525123</v>
      </c>
      <c r="S13" s="3">
        <f t="shared" si="17"/>
        <v>171.37227722706129</v>
      </c>
      <c r="T13" s="3">
        <f t="shared" si="17"/>
        <v>178.22716831614375</v>
      </c>
    </row>
    <row r="14" spans="1:23" x14ac:dyDescent="0.3">
      <c r="A14" t="s">
        <v>24</v>
      </c>
      <c r="B14" s="3">
        <f t="shared" ref="B14:I14" si="18">+B10+B11+B12+B13</f>
        <v>168.196</v>
      </c>
      <c r="C14" s="3">
        <f t="shared" si="18"/>
        <v>150.65699999999998</v>
      </c>
      <c r="D14" s="3">
        <f t="shared" si="18"/>
        <v>152.69</v>
      </c>
      <c r="E14" s="3">
        <f t="shared" si="18"/>
        <v>165.07399999999998</v>
      </c>
      <c r="F14" s="3">
        <f t="shared" si="18"/>
        <v>168.96899999999999</v>
      </c>
      <c r="G14" s="3">
        <f t="shared" si="18"/>
        <v>165.13800000000001</v>
      </c>
      <c r="H14" s="3">
        <f t="shared" si="18"/>
        <v>166.81899999999999</v>
      </c>
      <c r="I14" s="3">
        <f t="shared" si="18"/>
        <v>196.804</v>
      </c>
      <c r="J14" s="3">
        <f>+J10+J11+J12+J13</f>
        <v>212.06900000000002</v>
      </c>
      <c r="L14" s="3">
        <f t="shared" ref="L14:T14" si="19">+L10+L11+L12+L13</f>
        <v>636.61699999999996</v>
      </c>
      <c r="M14" s="3">
        <f t="shared" si="19"/>
        <v>697.7299999999999</v>
      </c>
      <c r="N14" s="3">
        <f t="shared" si="19"/>
        <v>735.22575000000006</v>
      </c>
      <c r="O14" s="3">
        <f t="shared" si="19"/>
        <v>774.85920270000008</v>
      </c>
      <c r="P14" s="3">
        <f t="shared" si="19"/>
        <v>816.76044345900004</v>
      </c>
      <c r="Q14" s="3">
        <f t="shared" si="19"/>
        <v>861.06800460218994</v>
      </c>
      <c r="R14" s="3">
        <f t="shared" si="19"/>
        <v>907.92944665233154</v>
      </c>
      <c r="S14" s="3">
        <f t="shared" si="19"/>
        <v>957.50198147204253</v>
      </c>
      <c r="T14" s="3">
        <f t="shared" si="19"/>
        <v>1009.9531404460246</v>
      </c>
    </row>
    <row r="15" spans="1:23" x14ac:dyDescent="0.3">
      <c r="A15" s="1" t="s">
        <v>25</v>
      </c>
      <c r="B15" s="4">
        <f t="shared" ref="B15:I15" si="20">+B9-B14</f>
        <v>288.97800000000007</v>
      </c>
      <c r="C15" s="4">
        <f t="shared" si="20"/>
        <v>300.38100000000003</v>
      </c>
      <c r="D15" s="4">
        <f t="shared" si="20"/>
        <v>309.53100000000001</v>
      </c>
      <c r="E15" s="4">
        <f t="shared" si="20"/>
        <v>308.75000000000011</v>
      </c>
      <c r="F15" s="4">
        <f t="shared" si="20"/>
        <v>314.60199999999998</v>
      </c>
      <c r="G15" s="4">
        <f t="shared" si="20"/>
        <v>345.95299999999986</v>
      </c>
      <c r="H15" s="4">
        <f t="shared" si="20"/>
        <v>353.30899999999997</v>
      </c>
      <c r="I15" s="4">
        <f t="shared" si="20"/>
        <v>370.745</v>
      </c>
      <c r="J15" s="4">
        <f>+J9-J14</f>
        <v>339.38199999999989</v>
      </c>
      <c r="L15" s="4">
        <f t="shared" ref="L15:T15" si="21">+L9-L14</f>
        <v>1207.6400000000001</v>
      </c>
      <c r="M15" s="4">
        <f t="shared" si="21"/>
        <v>1384.6089999999999</v>
      </c>
      <c r="N15" s="4">
        <f t="shared" si="21"/>
        <v>1572.1766699999998</v>
      </c>
      <c r="O15" s="4">
        <f t="shared" si="21"/>
        <v>1781.2378018000004</v>
      </c>
      <c r="P15" s="4">
        <f t="shared" si="21"/>
        <v>2018.5606996785002</v>
      </c>
      <c r="Q15" s="4">
        <f t="shared" si="21"/>
        <v>2288.3469979006227</v>
      </c>
      <c r="R15" s="4">
        <f t="shared" si="21"/>
        <v>2595.4924008311923</v>
      </c>
      <c r="S15" s="4">
        <f t="shared" si="21"/>
        <v>2945.7110589050462</v>
      </c>
      <c r="T15" s="4">
        <f t="shared" si="21"/>
        <v>3345.6834027968748</v>
      </c>
    </row>
    <row r="16" spans="1:23" x14ac:dyDescent="0.3">
      <c r="A16" t="s">
        <v>26</v>
      </c>
      <c r="B16" s="3">
        <f>0.298-40.714</f>
        <v>-40.415999999999997</v>
      </c>
      <c r="C16" s="3">
        <f>0.924-41.085</f>
        <v>-40.161000000000001</v>
      </c>
      <c r="D16" s="3">
        <f>3.938-44.162</f>
        <v>-40.223999999999997</v>
      </c>
      <c r="E16" s="3">
        <f>6.609-45.61</f>
        <v>-39.000999999999998</v>
      </c>
      <c r="F16" s="3">
        <f>10.362-46.206</f>
        <v>-35.844000000000001</v>
      </c>
      <c r="G16" s="3">
        <f>10.403-46.617</f>
        <v>-36.213999999999999</v>
      </c>
      <c r="H16" s="3">
        <f>10.314-46.902</f>
        <v>-36.588000000000001</v>
      </c>
      <c r="I16" s="3">
        <f>3.4-46.954</f>
        <v>-43.554000000000002</v>
      </c>
      <c r="J16" s="3">
        <f>6.048-46.674</f>
        <v>-40.625999999999998</v>
      </c>
      <c r="L16" s="3">
        <f t="shared" ref="L16:L17" si="22">+SUM(B16:E16)</f>
        <v>-159.80199999999999</v>
      </c>
      <c r="M16" s="3">
        <f t="shared" ref="M16:M17" si="23">+SUM(F16:I16)</f>
        <v>-152.19999999999999</v>
      </c>
      <c r="N16" s="3">
        <f>+M16*1.035</f>
        <v>-157.52699999999999</v>
      </c>
      <c r="O16" s="3">
        <f t="shared" ref="O16:T16" si="24">+N16*1.035</f>
        <v>-163.04044499999998</v>
      </c>
      <c r="P16" s="3">
        <f t="shared" si="24"/>
        <v>-168.74686057499997</v>
      </c>
      <c r="Q16" s="3">
        <f t="shared" si="24"/>
        <v>-174.65300069512494</v>
      </c>
      <c r="R16" s="3">
        <f t="shared" si="24"/>
        <v>-180.76585571945429</v>
      </c>
      <c r="S16" s="3">
        <f t="shared" si="24"/>
        <v>-187.09266066963517</v>
      </c>
      <c r="T16" s="3">
        <f t="shared" si="24"/>
        <v>-193.64090379307237</v>
      </c>
    </row>
    <row r="17" spans="1:71" x14ac:dyDescent="0.3">
      <c r="A17" t="s">
        <v>27</v>
      </c>
      <c r="B17" s="3">
        <v>-0.38100000000000001</v>
      </c>
      <c r="C17" s="3">
        <v>0.188</v>
      </c>
      <c r="D17" s="3">
        <v>0.10299999999999999</v>
      </c>
      <c r="E17" s="3">
        <v>4.0869999999999997</v>
      </c>
      <c r="F17" s="3">
        <v>2.3860000000000001</v>
      </c>
      <c r="G17" s="3">
        <v>2.581</v>
      </c>
      <c r="H17" s="3">
        <v>0.93500000000000005</v>
      </c>
      <c r="I17" s="3">
        <v>2.3450000000000002</v>
      </c>
      <c r="J17" s="3">
        <v>2.863</v>
      </c>
      <c r="L17" s="3">
        <f t="shared" si="22"/>
        <v>3.9969999999999999</v>
      </c>
      <c r="M17" s="3">
        <f t="shared" si="23"/>
        <v>8.2470000000000017</v>
      </c>
      <c r="N17" s="3"/>
      <c r="O17" s="3"/>
      <c r="P17" s="3"/>
      <c r="Q17" s="3"/>
      <c r="R17" s="3"/>
      <c r="S17" s="3"/>
      <c r="T17" s="3"/>
    </row>
    <row r="18" spans="1:71" x14ac:dyDescent="0.3">
      <c r="A18" t="s">
        <v>28</v>
      </c>
      <c r="B18" s="3">
        <f t="shared" ref="B18:I18" si="25">+B15+B16-B17</f>
        <v>248.94300000000007</v>
      </c>
      <c r="C18" s="3">
        <f t="shared" si="25"/>
        <v>260.03200000000004</v>
      </c>
      <c r="D18" s="3">
        <f t="shared" si="25"/>
        <v>269.20400000000001</v>
      </c>
      <c r="E18" s="3">
        <f t="shared" si="25"/>
        <v>265.66200000000015</v>
      </c>
      <c r="F18" s="3">
        <f t="shared" si="25"/>
        <v>276.37199999999996</v>
      </c>
      <c r="G18" s="3">
        <f t="shared" si="25"/>
        <v>307.15799999999984</v>
      </c>
      <c r="H18" s="3">
        <f t="shared" si="25"/>
        <v>315.78599999999994</v>
      </c>
      <c r="I18" s="3">
        <f t="shared" si="25"/>
        <v>324.846</v>
      </c>
      <c r="J18" s="3">
        <f>+J15+J16-J17</f>
        <v>295.89299999999992</v>
      </c>
      <c r="L18" s="3">
        <f t="shared" ref="L18:T18" si="26">+L15+L16-L17</f>
        <v>1043.8410000000001</v>
      </c>
      <c r="M18" s="3">
        <f t="shared" si="26"/>
        <v>1224.1619999999998</v>
      </c>
      <c r="N18" s="3">
        <f t="shared" si="26"/>
        <v>1414.6496699999998</v>
      </c>
      <c r="O18" s="3">
        <f t="shared" si="26"/>
        <v>1618.1973568000003</v>
      </c>
      <c r="P18" s="3">
        <f t="shared" si="26"/>
        <v>1849.8138391035002</v>
      </c>
      <c r="Q18" s="3">
        <f t="shared" si="26"/>
        <v>2113.6939972054979</v>
      </c>
      <c r="R18" s="3">
        <f t="shared" si="26"/>
        <v>2414.7265451117382</v>
      </c>
      <c r="S18" s="3">
        <f t="shared" si="26"/>
        <v>2758.618398235411</v>
      </c>
      <c r="T18" s="3">
        <f t="shared" si="26"/>
        <v>3152.0424990038023</v>
      </c>
    </row>
    <row r="19" spans="1:71" x14ac:dyDescent="0.3">
      <c r="A19" t="s">
        <v>29</v>
      </c>
      <c r="B19" s="3">
        <v>20.52</v>
      </c>
      <c r="C19" s="3">
        <v>49.445</v>
      </c>
      <c r="D19" s="3">
        <v>52.612000000000002</v>
      </c>
      <c r="E19" s="3">
        <v>50.691000000000003</v>
      </c>
      <c r="F19" s="3">
        <v>37.643999999999998</v>
      </c>
      <c r="G19" s="3">
        <v>60.332999999999998</v>
      </c>
      <c r="H19" s="3">
        <v>57.997</v>
      </c>
      <c r="I19" s="3">
        <v>64.495000000000005</v>
      </c>
      <c r="J19" s="3">
        <v>39.939</v>
      </c>
      <c r="L19" s="3">
        <f>+SUM(B19:E19)</f>
        <v>173.268</v>
      </c>
      <c r="M19" s="3">
        <f>+SUM(F19:I19)</f>
        <v>220.46899999999999</v>
      </c>
      <c r="N19" s="3">
        <f>+N18*0.21</f>
        <v>297.07643069999995</v>
      </c>
      <c r="O19" s="3">
        <f t="shared" ref="O19:T19" si="27">+O18*0.21</f>
        <v>339.82144492800006</v>
      </c>
      <c r="P19" s="3">
        <f t="shared" si="27"/>
        <v>388.46090621173505</v>
      </c>
      <c r="Q19" s="3">
        <f t="shared" si="27"/>
        <v>443.87573941315452</v>
      </c>
      <c r="R19" s="3">
        <f t="shared" si="27"/>
        <v>507.09257447346499</v>
      </c>
      <c r="S19" s="3">
        <f t="shared" si="27"/>
        <v>579.30986362943622</v>
      </c>
      <c r="T19" s="3">
        <f t="shared" si="27"/>
        <v>661.92892479079842</v>
      </c>
    </row>
    <row r="20" spans="1:71" x14ac:dyDescent="0.3">
      <c r="A20" s="1" t="s">
        <v>30</v>
      </c>
      <c r="B20" s="4">
        <f t="shared" ref="B20:I20" si="28">+B18-B19</f>
        <v>228.42300000000006</v>
      </c>
      <c r="C20" s="4">
        <f t="shared" si="28"/>
        <v>210.58700000000005</v>
      </c>
      <c r="D20" s="4">
        <f t="shared" si="28"/>
        <v>216.59200000000001</v>
      </c>
      <c r="E20" s="4">
        <f t="shared" si="28"/>
        <v>214.97100000000015</v>
      </c>
      <c r="F20" s="4">
        <f t="shared" si="28"/>
        <v>238.72799999999995</v>
      </c>
      <c r="G20" s="4">
        <f t="shared" si="28"/>
        <v>246.82499999999985</v>
      </c>
      <c r="H20" s="4">
        <f t="shared" si="28"/>
        <v>257.78899999999993</v>
      </c>
      <c r="I20" s="4">
        <f t="shared" si="28"/>
        <v>260.351</v>
      </c>
      <c r="J20" s="4">
        <f>+J18-J19</f>
        <v>255.95399999999992</v>
      </c>
      <c r="L20" s="4">
        <f t="shared" ref="L20:T20" si="29">+L18-L19</f>
        <v>870.57300000000009</v>
      </c>
      <c r="M20" s="4">
        <f t="shared" si="29"/>
        <v>1003.6929999999998</v>
      </c>
      <c r="N20" s="4">
        <f t="shared" si="29"/>
        <v>1117.5732392999998</v>
      </c>
      <c r="O20" s="4">
        <f t="shared" si="29"/>
        <v>1278.3759118720002</v>
      </c>
      <c r="P20" s="4">
        <f t="shared" si="29"/>
        <v>1461.3529328917652</v>
      </c>
      <c r="Q20" s="4">
        <f t="shared" si="29"/>
        <v>1669.8182577923435</v>
      </c>
      <c r="R20" s="4">
        <f t="shared" si="29"/>
        <v>1907.6339706382732</v>
      </c>
      <c r="S20" s="4">
        <f t="shared" si="29"/>
        <v>2179.3085346059747</v>
      </c>
      <c r="T20" s="4">
        <f t="shared" si="29"/>
        <v>2490.1135742130036</v>
      </c>
      <c r="U20" s="4">
        <f>+T20*(1+$W$4)</f>
        <v>2564.8169814393937</v>
      </c>
      <c r="V20" s="4">
        <f t="shared" ref="V20:BS20" si="30">+U20*(1+$W$4)</f>
        <v>2641.7614908825753</v>
      </c>
      <c r="W20" s="4">
        <f t="shared" si="30"/>
        <v>2721.0143356090525</v>
      </c>
      <c r="X20" s="4">
        <f t="shared" si="30"/>
        <v>2802.6447656773244</v>
      </c>
      <c r="Y20" s="4">
        <f t="shared" si="30"/>
        <v>2886.7241086476442</v>
      </c>
      <c r="Z20" s="4">
        <f t="shared" si="30"/>
        <v>2973.3258319070737</v>
      </c>
      <c r="AA20" s="4">
        <f t="shared" si="30"/>
        <v>3062.5256068642861</v>
      </c>
      <c r="AB20" s="4">
        <f t="shared" si="30"/>
        <v>3154.4013750702147</v>
      </c>
      <c r="AC20" s="4">
        <f t="shared" si="30"/>
        <v>3249.033416322321</v>
      </c>
      <c r="AD20" s="4">
        <f t="shared" si="30"/>
        <v>3346.5044188119909</v>
      </c>
      <c r="AE20" s="4">
        <f t="shared" si="30"/>
        <v>3446.8995513763507</v>
      </c>
      <c r="AF20" s="4">
        <f t="shared" si="30"/>
        <v>3550.3065379176414</v>
      </c>
      <c r="AG20" s="4">
        <f t="shared" si="30"/>
        <v>3656.8157340551707</v>
      </c>
      <c r="AH20" s="4">
        <f t="shared" si="30"/>
        <v>3766.5202060768261</v>
      </c>
      <c r="AI20" s="4">
        <f t="shared" si="30"/>
        <v>3879.5158122591311</v>
      </c>
      <c r="AJ20" s="4">
        <f t="shared" si="30"/>
        <v>3995.9012866269049</v>
      </c>
      <c r="AK20" s="4">
        <f t="shared" si="30"/>
        <v>4115.7783252257123</v>
      </c>
      <c r="AL20" s="4">
        <f t="shared" si="30"/>
        <v>4239.2516749824836</v>
      </c>
      <c r="AM20" s="4">
        <f t="shared" si="30"/>
        <v>4366.4292252319583</v>
      </c>
      <c r="AN20" s="4">
        <f t="shared" si="30"/>
        <v>4497.4221019889173</v>
      </c>
      <c r="AO20" s="4">
        <f t="shared" si="30"/>
        <v>4632.344765048585</v>
      </c>
      <c r="AP20" s="4">
        <f t="shared" si="30"/>
        <v>4771.3151080000425</v>
      </c>
      <c r="AQ20" s="4">
        <f t="shared" si="30"/>
        <v>4914.4545612400443</v>
      </c>
      <c r="AR20" s="4">
        <f t="shared" si="30"/>
        <v>5061.8881980772458</v>
      </c>
      <c r="AS20" s="4">
        <f t="shared" si="30"/>
        <v>5213.7448440195631</v>
      </c>
      <c r="AT20" s="4">
        <f t="shared" si="30"/>
        <v>5370.1571893401497</v>
      </c>
      <c r="AU20" s="4">
        <f t="shared" si="30"/>
        <v>5531.2619050203539</v>
      </c>
      <c r="AV20" s="4">
        <f t="shared" si="30"/>
        <v>5697.1997621709643</v>
      </c>
      <c r="AW20" s="4">
        <f t="shared" si="30"/>
        <v>5868.1157550360931</v>
      </c>
      <c r="AX20" s="4">
        <f t="shared" si="30"/>
        <v>6044.1592276871761</v>
      </c>
      <c r="AY20" s="4">
        <f t="shared" si="30"/>
        <v>6225.4840045177916</v>
      </c>
      <c r="AZ20" s="4">
        <f t="shared" si="30"/>
        <v>6412.2485246533251</v>
      </c>
      <c r="BA20" s="4">
        <f t="shared" si="30"/>
        <v>6604.6159803929249</v>
      </c>
      <c r="BB20" s="4">
        <f t="shared" si="30"/>
        <v>6802.7544598047125</v>
      </c>
      <c r="BC20" s="4">
        <f t="shared" si="30"/>
        <v>7006.8370935988542</v>
      </c>
      <c r="BD20" s="4">
        <f t="shared" si="30"/>
        <v>7217.0422064068198</v>
      </c>
      <c r="BE20" s="4">
        <f t="shared" si="30"/>
        <v>7433.5534725990246</v>
      </c>
      <c r="BF20" s="4">
        <f t="shared" si="30"/>
        <v>7656.5600767769956</v>
      </c>
      <c r="BG20" s="4">
        <f t="shared" si="30"/>
        <v>7886.2568790803061</v>
      </c>
      <c r="BH20" s="4">
        <f t="shared" si="30"/>
        <v>8122.8445854527154</v>
      </c>
      <c r="BI20" s="4">
        <f t="shared" si="30"/>
        <v>8366.5299230162964</v>
      </c>
      <c r="BJ20" s="4">
        <f t="shared" si="30"/>
        <v>8617.5258207067855</v>
      </c>
      <c r="BK20" s="4">
        <f t="shared" si="30"/>
        <v>8876.0515953279901</v>
      </c>
      <c r="BL20" s="4">
        <f t="shared" si="30"/>
        <v>9142.3331431878305</v>
      </c>
      <c r="BM20" s="4">
        <f t="shared" si="30"/>
        <v>9416.6031374834656</v>
      </c>
      <c r="BN20" s="4">
        <f t="shared" si="30"/>
        <v>9699.1012316079705</v>
      </c>
      <c r="BO20" s="4">
        <f t="shared" si="30"/>
        <v>9990.0742685562091</v>
      </c>
      <c r="BP20" s="4">
        <f t="shared" si="30"/>
        <v>10289.776496612896</v>
      </c>
      <c r="BQ20" s="4">
        <f t="shared" si="30"/>
        <v>10598.469791511283</v>
      </c>
      <c r="BR20" s="4">
        <f t="shared" si="30"/>
        <v>10916.423885256621</v>
      </c>
      <c r="BS20" s="4">
        <f t="shared" si="30"/>
        <v>11243.916601814321</v>
      </c>
    </row>
    <row r="21" spans="1:71" x14ac:dyDescent="0.3">
      <c r="A21" t="s">
        <v>31</v>
      </c>
      <c r="B21" s="3">
        <v>82.286000000000001</v>
      </c>
      <c r="C21" s="3">
        <v>81.295000000000002</v>
      </c>
      <c r="D21" s="3">
        <v>80.873999999999995</v>
      </c>
      <c r="E21" s="3">
        <v>80.424000000000007</v>
      </c>
      <c r="F21" s="3">
        <v>80.481999999999999</v>
      </c>
      <c r="G21" s="3">
        <v>79.905000000000001</v>
      </c>
      <c r="H21" s="3">
        <v>79.5</v>
      </c>
      <c r="I21" s="3">
        <v>79.498999999999995</v>
      </c>
      <c r="J21" s="3">
        <v>79.507999999999996</v>
      </c>
      <c r="L21" s="3">
        <f>+E21</f>
        <v>80.424000000000007</v>
      </c>
      <c r="M21" s="3">
        <f>+I21</f>
        <v>79.498999999999995</v>
      </c>
      <c r="N21" s="3">
        <f>M21*0.985</f>
        <v>78.30651499999999</v>
      </c>
      <c r="O21" s="3">
        <f t="shared" ref="O21:T21" si="31">N21*0.985</f>
        <v>77.131917274999992</v>
      </c>
      <c r="P21" s="3">
        <f t="shared" si="31"/>
        <v>75.974938515874996</v>
      </c>
      <c r="Q21" s="3">
        <f t="shared" si="31"/>
        <v>74.835314438136876</v>
      </c>
      <c r="R21" s="3">
        <f t="shared" si="31"/>
        <v>73.712784721564816</v>
      </c>
      <c r="S21" s="3">
        <f t="shared" si="31"/>
        <v>72.607092950741347</v>
      </c>
      <c r="T21" s="3">
        <f t="shared" si="31"/>
        <v>71.517986556480224</v>
      </c>
    </row>
    <row r="22" spans="1:71" x14ac:dyDescent="0.3">
      <c r="A22" t="s">
        <v>32</v>
      </c>
      <c r="B22" s="5">
        <f t="shared" ref="B22:I22" si="32">+B20/B21</f>
        <v>2.7759643195683354</v>
      </c>
      <c r="C22" s="5">
        <f t="shared" si="32"/>
        <v>2.5904053139799501</v>
      </c>
      <c r="D22" s="5">
        <f t="shared" si="32"/>
        <v>2.6781413062294437</v>
      </c>
      <c r="E22" s="5">
        <f t="shared" si="32"/>
        <v>2.6729707549985093</v>
      </c>
      <c r="F22" s="5">
        <f t="shared" si="32"/>
        <v>2.9662284734474782</v>
      </c>
      <c r="G22" s="5">
        <f t="shared" si="32"/>
        <v>3.0889806645391382</v>
      </c>
      <c r="H22" s="5">
        <f t="shared" si="32"/>
        <v>3.2426289308176091</v>
      </c>
      <c r="I22" s="5">
        <f t="shared" si="32"/>
        <v>3.2748965395791143</v>
      </c>
      <c r="J22" s="5">
        <f>+J20/J21</f>
        <v>3.2192232228203443</v>
      </c>
      <c r="L22" s="5">
        <f t="shared" ref="L22:T22" si="33">+L20/L21</f>
        <v>10.824791107132199</v>
      </c>
      <c r="M22" s="5">
        <f t="shared" si="33"/>
        <v>12.625227990289183</v>
      </c>
      <c r="N22" s="5">
        <f t="shared" si="33"/>
        <v>14.271778526984631</v>
      </c>
      <c r="O22" s="5">
        <f t="shared" si="33"/>
        <v>16.573889993090415</v>
      </c>
      <c r="P22" s="5">
        <f t="shared" si="33"/>
        <v>19.234670819594214</v>
      </c>
      <c r="Q22" s="5">
        <f t="shared" si="33"/>
        <v>22.313239014619363</v>
      </c>
      <c r="R22" s="5">
        <f t="shared" si="33"/>
        <v>25.879282377459703</v>
      </c>
      <c r="S22" s="5">
        <f t="shared" si="33"/>
        <v>30.015091446843599</v>
      </c>
      <c r="T22" s="5">
        <f t="shared" si="33"/>
        <v>34.818004450481489</v>
      </c>
    </row>
    <row r="24" spans="1:71" x14ac:dyDescent="0.3">
      <c r="A24" t="s">
        <v>33</v>
      </c>
      <c r="B24" s="2"/>
      <c r="C24" s="2"/>
      <c r="D24" s="2"/>
      <c r="E24" s="2"/>
      <c r="F24" s="2">
        <f t="shared" ref="F24:I24" si="34">+F7/B7-1</f>
        <v>5.7636017823178953E-2</v>
      </c>
      <c r="G24" s="2">
        <f t="shared" si="34"/>
        <v>0.1256800397241058</v>
      </c>
      <c r="H24" s="2">
        <f t="shared" si="34"/>
        <v>0.11558239794234781</v>
      </c>
      <c r="I24" s="2">
        <f t="shared" si="34"/>
        <v>0.1976682031488628</v>
      </c>
      <c r="J24" s="2">
        <f>+J7/F7-1</f>
        <v>0.14816672238939033</v>
      </c>
      <c r="M24" s="2">
        <f>+M7/L7-1</f>
        <v>0.12466523584918243</v>
      </c>
      <c r="N24" s="2">
        <f t="shared" ref="N24:T24" si="35">+N7/M7-1</f>
        <v>0.10665482498457846</v>
      </c>
      <c r="O24" s="2">
        <f t="shared" si="35"/>
        <v>0.10641537773655285</v>
      </c>
      <c r="P24" s="2">
        <f t="shared" si="35"/>
        <v>0.10762626937758579</v>
      </c>
      <c r="Q24" s="2">
        <f t="shared" si="35"/>
        <v>0.10891085598964589</v>
      </c>
      <c r="R24" s="2">
        <f t="shared" si="35"/>
        <v>0.11027155751837192</v>
      </c>
      <c r="S24" s="2">
        <f t="shared" si="35"/>
        <v>0.11171043456972685</v>
      </c>
      <c r="T24" s="2">
        <f t="shared" si="35"/>
        <v>0.11322911288509907</v>
      </c>
    </row>
    <row r="25" spans="1:71" x14ac:dyDescent="0.3">
      <c r="A25" t="s">
        <v>41</v>
      </c>
      <c r="F25" s="2">
        <f t="shared" ref="F25:I25" si="36">+F3/B3-1</f>
        <v>2.6070341245438389E-2</v>
      </c>
      <c r="G25" s="2">
        <f t="shared" si="36"/>
        <v>0.12888963667124664</v>
      </c>
      <c r="H25" s="2">
        <f t="shared" si="36"/>
        <v>0.12376489572989069</v>
      </c>
      <c r="I25" s="2">
        <f t="shared" si="36"/>
        <v>0.17838128414844134</v>
      </c>
      <c r="J25" s="2">
        <f>+J3/F3-1</f>
        <v>0.10162589648242992</v>
      </c>
      <c r="M25" s="2">
        <f>+M3/L3-1</f>
        <v>0.1140308269817043</v>
      </c>
      <c r="N25" s="2">
        <f t="shared" ref="N25:T25" si="37">+N3/M3-1</f>
        <v>0.10000000000000009</v>
      </c>
      <c r="O25" s="2">
        <f t="shared" si="37"/>
        <v>0.10000000000000009</v>
      </c>
      <c r="P25" s="2">
        <f t="shared" si="37"/>
        <v>0.10000000000000009</v>
      </c>
      <c r="Q25" s="2">
        <f t="shared" si="37"/>
        <v>0.10000000000000009</v>
      </c>
      <c r="R25" s="2">
        <f t="shared" si="37"/>
        <v>0.10000000000000009</v>
      </c>
      <c r="S25" s="2">
        <f t="shared" si="37"/>
        <v>0.10000000000000009</v>
      </c>
      <c r="T25" s="2">
        <f t="shared" si="37"/>
        <v>0.10000000000000009</v>
      </c>
    </row>
    <row r="26" spans="1:71" x14ac:dyDescent="0.3">
      <c r="A26" t="s">
        <v>42</v>
      </c>
      <c r="F26" s="2">
        <f t="shared" ref="F26:J26" si="38">+F4/B4-1</f>
        <v>5.2025436883480936E-2</v>
      </c>
      <c r="G26" s="2">
        <f t="shared" si="38"/>
        <v>5.7854097851556929E-2</v>
      </c>
      <c r="H26" s="2">
        <f t="shared" si="38"/>
        <v>6.4541282820964163E-2</v>
      </c>
      <c r="I26" s="2">
        <f t="shared" si="38"/>
        <v>0.10036670652123081</v>
      </c>
      <c r="J26" s="2">
        <f t="shared" si="38"/>
        <v>0.1148840688107704</v>
      </c>
      <c r="M26" s="2">
        <f t="shared" ref="M26:T28" si="39">+M4/L4-1</f>
        <v>6.9169442482039045E-2</v>
      </c>
      <c r="N26" s="2">
        <f t="shared" si="39"/>
        <v>7.4999999999999956E-2</v>
      </c>
      <c r="O26" s="2">
        <f t="shared" si="39"/>
        <v>7.4999999999999956E-2</v>
      </c>
      <c r="P26" s="2">
        <f t="shared" si="39"/>
        <v>7.4999999999999956E-2</v>
      </c>
      <c r="Q26" s="2">
        <f t="shared" si="39"/>
        <v>7.4999999999999956E-2</v>
      </c>
      <c r="R26" s="2">
        <f t="shared" si="39"/>
        <v>7.4999999999999956E-2</v>
      </c>
      <c r="S26" s="2">
        <f t="shared" si="39"/>
        <v>7.4999999999999956E-2</v>
      </c>
      <c r="T26" s="2">
        <f t="shared" si="39"/>
        <v>7.4999999999999956E-2</v>
      </c>
    </row>
    <row r="27" spans="1:71" x14ac:dyDescent="0.3">
      <c r="A27" t="s">
        <v>43</v>
      </c>
      <c r="F27" s="2">
        <f t="shared" ref="F27:J27" si="40">+F5/B5-1</f>
        <v>0.28885813680831851</v>
      </c>
      <c r="G27" s="2">
        <f t="shared" si="40"/>
        <v>0.2918843418952255</v>
      </c>
      <c r="H27" s="2">
        <f t="shared" si="40"/>
        <v>0.26813091414185264</v>
      </c>
      <c r="I27" s="2">
        <f t="shared" si="40"/>
        <v>0.19971994524772274</v>
      </c>
      <c r="J27" s="2">
        <f t="shared" si="40"/>
        <v>0.16144233350234116</v>
      </c>
      <c r="M27" s="2">
        <f t="shared" si="39"/>
        <v>0.25954509419169458</v>
      </c>
      <c r="N27" s="2">
        <f t="shared" si="39"/>
        <v>0.19999999999999996</v>
      </c>
      <c r="O27" s="2">
        <f t="shared" si="39"/>
        <v>0.19999999999999996</v>
      </c>
      <c r="P27" s="2">
        <f t="shared" si="39"/>
        <v>0.19999999999999996</v>
      </c>
      <c r="Q27" s="2">
        <f t="shared" si="39"/>
        <v>0.19999999999999996</v>
      </c>
      <c r="R27" s="2">
        <f t="shared" si="39"/>
        <v>0.19999999999999996</v>
      </c>
      <c r="S27" s="2">
        <f t="shared" si="39"/>
        <v>0.19999999999999996</v>
      </c>
      <c r="T27" s="2">
        <f t="shared" si="39"/>
        <v>0.19999999999999996</v>
      </c>
    </row>
    <row r="28" spans="1:71" x14ac:dyDescent="0.3">
      <c r="A28" t="s">
        <v>44</v>
      </c>
      <c r="F28" s="2">
        <f t="shared" ref="F28:J28" si="41">+F6/B6-1</f>
        <v>3.608137044967874E-2</v>
      </c>
      <c r="G28" s="2">
        <f t="shared" si="41"/>
        <v>0.10856219709208403</v>
      </c>
      <c r="H28" s="2">
        <f t="shared" si="41"/>
        <v>3.3993702805874548E-3</v>
      </c>
      <c r="I28" s="2">
        <f t="shared" si="41"/>
        <v>0.81491819342578031</v>
      </c>
      <c r="J28" s="2">
        <f t="shared" si="41"/>
        <v>0.65968275291929301</v>
      </c>
      <c r="M28" s="2">
        <f t="shared" si="39"/>
        <v>0.23132417305687003</v>
      </c>
      <c r="N28" s="2">
        <f t="shared" si="39"/>
        <v>0.12000000000000011</v>
      </c>
      <c r="O28" s="2">
        <f t="shared" si="39"/>
        <v>0.10000000000000009</v>
      </c>
      <c r="P28" s="2">
        <f t="shared" si="39"/>
        <v>0.10000000000000009</v>
      </c>
      <c r="Q28" s="2">
        <f t="shared" si="39"/>
        <v>0.10000000000000009</v>
      </c>
      <c r="R28" s="2">
        <f t="shared" si="39"/>
        <v>0.10000000000000009</v>
      </c>
      <c r="S28" s="2">
        <f t="shared" si="39"/>
        <v>0.10000000000000009</v>
      </c>
      <c r="T28" s="2">
        <f t="shared" si="39"/>
        <v>0.10000000000000009</v>
      </c>
    </row>
    <row r="29" spans="1:71" x14ac:dyDescent="0.3">
      <c r="A29" t="s">
        <v>34</v>
      </c>
      <c r="B29" s="2">
        <f t="shared" ref="B29:I29" si="42">+B9/B7</f>
        <v>0.81646233112180655</v>
      </c>
      <c r="C29" s="2">
        <f t="shared" si="42"/>
        <v>0.8173850954864571</v>
      </c>
      <c r="D29" s="2">
        <f t="shared" si="42"/>
        <v>0.82445388208811732</v>
      </c>
      <c r="E29" s="2">
        <f t="shared" si="42"/>
        <v>0.82231416432954763</v>
      </c>
      <c r="F29" s="2">
        <f t="shared" si="42"/>
        <v>0.81654221925034365</v>
      </c>
      <c r="G29" s="2">
        <f t="shared" si="42"/>
        <v>0.82280486253877838</v>
      </c>
      <c r="H29" s="2">
        <f t="shared" si="42"/>
        <v>0.83162066964164361</v>
      </c>
      <c r="I29" s="2">
        <f t="shared" si="42"/>
        <v>0.82240844160172488</v>
      </c>
      <c r="J29" s="2">
        <f>+J9/J7</f>
        <v>0.81099909554168226</v>
      </c>
      <c r="L29" s="2">
        <f t="shared" ref="L29:T29" si="43">+L9/L7</f>
        <v>0.82018084157328264</v>
      </c>
      <c r="M29" s="2">
        <f t="shared" si="43"/>
        <v>0.82341038862439297</v>
      </c>
      <c r="N29" s="2">
        <f t="shared" si="43"/>
        <v>0.82447230326233412</v>
      </c>
      <c r="O29" s="2">
        <f t="shared" si="43"/>
        <v>0.82549007335163183</v>
      </c>
      <c r="P29" s="2">
        <f t="shared" si="43"/>
        <v>0.8266916155563242</v>
      </c>
      <c r="Q29" s="2">
        <f t="shared" si="43"/>
        <v>0.82808426677552216</v>
      </c>
      <c r="R29" s="2">
        <f t="shared" si="43"/>
        <v>0.82967472663209563</v>
      </c>
      <c r="S29" s="2">
        <f t="shared" si="43"/>
        <v>0.83146888355220916</v>
      </c>
      <c r="T29" s="2">
        <f t="shared" si="43"/>
        <v>0.83347163135886815</v>
      </c>
    </row>
    <row r="30" spans="1:71" x14ac:dyDescent="0.3">
      <c r="A30" t="s">
        <v>35</v>
      </c>
      <c r="B30" s="2">
        <f t="shared" ref="B30:I30" si="44">+B15/B7</f>
        <v>0.51608282956361795</v>
      </c>
      <c r="C30" s="2">
        <f t="shared" si="44"/>
        <v>0.54435979311569649</v>
      </c>
      <c r="D30" s="2">
        <f t="shared" si="44"/>
        <v>0.55210393854155704</v>
      </c>
      <c r="E30" s="2">
        <f t="shared" si="44"/>
        <v>0.53583081109599329</v>
      </c>
      <c r="F30" s="2">
        <f t="shared" si="44"/>
        <v>0.53122667666298562</v>
      </c>
      <c r="G30" s="2">
        <f t="shared" si="44"/>
        <v>0.55694937028802682</v>
      </c>
      <c r="H30" s="2">
        <f t="shared" si="44"/>
        <v>0.56489761591458154</v>
      </c>
      <c r="I30" s="2">
        <f t="shared" si="44"/>
        <v>0.53722906336128073</v>
      </c>
      <c r="J30" s="2">
        <f>+J15/J7</f>
        <v>0.49911686630929525</v>
      </c>
      <c r="L30" s="2">
        <f t="shared" ref="L30:T30" si="45">+L15/L7</f>
        <v>0.53706353914750438</v>
      </c>
      <c r="M30" s="2">
        <f t="shared" si="45"/>
        <v>0.54751000427059771</v>
      </c>
      <c r="N30" s="2">
        <f t="shared" si="45"/>
        <v>0.5617642198061864</v>
      </c>
      <c r="O30" s="2">
        <f t="shared" si="45"/>
        <v>0.57524973468376117</v>
      </c>
      <c r="P30" s="2">
        <f t="shared" si="45"/>
        <v>0.58854962865657923</v>
      </c>
      <c r="Q30" s="2">
        <f t="shared" si="45"/>
        <v>0.60168131045880235</v>
      </c>
      <c r="R30" s="2">
        <f t="shared" si="45"/>
        <v>0.61466033548945265</v>
      </c>
      <c r="S30" s="2">
        <f t="shared" si="45"/>
        <v>0.62750023123988929</v>
      </c>
      <c r="T30" s="2">
        <f t="shared" si="45"/>
        <v>0.64021232627074443</v>
      </c>
    </row>
    <row r="31" spans="1:71" x14ac:dyDescent="0.3">
      <c r="A31" t="s">
        <v>36</v>
      </c>
      <c r="B31" s="2">
        <f t="shared" ref="B31:I31" si="46">+B20/B7</f>
        <v>0.40793827965246593</v>
      </c>
      <c r="C31" s="2">
        <f t="shared" si="46"/>
        <v>0.38163231280558751</v>
      </c>
      <c r="D31" s="2">
        <f t="shared" si="46"/>
        <v>0.38633059776433676</v>
      </c>
      <c r="E31" s="2">
        <f t="shared" si="46"/>
        <v>0.37307881875989246</v>
      </c>
      <c r="F31" s="2">
        <f t="shared" si="46"/>
        <v>0.40310831484352039</v>
      </c>
      <c r="G31" s="2">
        <f t="shared" si="46"/>
        <v>0.39736330750518772</v>
      </c>
      <c r="H31" s="2">
        <f t="shared" si="46"/>
        <v>0.41217288976223093</v>
      </c>
      <c r="I31" s="2">
        <f t="shared" si="46"/>
        <v>0.37726233361251749</v>
      </c>
      <c r="J31" s="2">
        <f>+J20/J7</f>
        <v>0.37642231585449243</v>
      </c>
      <c r="L31" s="2">
        <f t="shared" ref="L31:T31" si="47">+L20/L7</f>
        <v>0.38716257863788905</v>
      </c>
      <c r="M31" s="2">
        <f t="shared" si="47"/>
        <v>0.39688602249181459</v>
      </c>
      <c r="N31" s="2">
        <f t="shared" si="47"/>
        <v>0.39932704182134759</v>
      </c>
      <c r="O31" s="2">
        <f t="shared" si="47"/>
        <v>0.41285077342696619</v>
      </c>
      <c r="P31" s="2">
        <f t="shared" si="47"/>
        <v>0.4260851437990632</v>
      </c>
      <c r="Q31" s="2">
        <f t="shared" si="47"/>
        <v>0.43904986372183186</v>
      </c>
      <c r="R31" s="2">
        <f t="shared" si="47"/>
        <v>0.45176280847830491</v>
      </c>
      <c r="S31" s="2">
        <f t="shared" si="47"/>
        <v>0.46423990067669252</v>
      </c>
      <c r="T31" s="2">
        <f t="shared" si="47"/>
        <v>0.47649499731282646</v>
      </c>
    </row>
    <row r="33" spans="1:13" x14ac:dyDescent="0.3">
      <c r="A33" t="s">
        <v>37</v>
      </c>
      <c r="B33" s="3">
        <v>244.184</v>
      </c>
      <c r="C33" s="3">
        <v>456.87299999999999</v>
      </c>
      <c r="D33" s="3">
        <v>779.94200000000001</v>
      </c>
      <c r="E33" s="3">
        <v>315.42700000000002</v>
      </c>
      <c r="F33" s="3">
        <v>264.14100000000002</v>
      </c>
      <c r="G33" s="3">
        <v>555.94500000000005</v>
      </c>
      <c r="H33" s="3">
        <v>847.07600000000002</v>
      </c>
      <c r="I33" s="3">
        <v>388.95299999999997</v>
      </c>
      <c r="J33" s="3">
        <v>300.137</v>
      </c>
    </row>
    <row r="34" spans="1:13" x14ac:dyDescent="0.3">
      <c r="A34" t="s">
        <v>38</v>
      </c>
      <c r="B34" s="3">
        <v>1.254</v>
      </c>
      <c r="C34" s="3">
        <v>4.7370000000000001</v>
      </c>
      <c r="D34" s="3">
        <v>8.0120000000000005</v>
      </c>
      <c r="E34" s="3"/>
      <c r="F34" s="3">
        <v>6.2249999999999996</v>
      </c>
      <c r="G34" s="3">
        <v>15.378</v>
      </c>
      <c r="H34" s="3">
        <v>18.942</v>
      </c>
      <c r="I34" s="3"/>
      <c r="J34" s="3">
        <v>4.2709999999999999</v>
      </c>
    </row>
    <row r="35" spans="1:13" x14ac:dyDescent="0.3">
      <c r="A35" t="s">
        <v>39</v>
      </c>
      <c r="B35" s="3">
        <v>22.856999999999999</v>
      </c>
      <c r="C35" s="3">
        <v>34.418999999999997</v>
      </c>
      <c r="D35" s="3">
        <v>46.432000000000002</v>
      </c>
      <c r="E35" s="3"/>
      <c r="F35" s="3">
        <v>21.088000000000001</v>
      </c>
      <c r="G35" s="3">
        <v>37.231000000000002</v>
      </c>
      <c r="H35" s="3">
        <v>55.375</v>
      </c>
      <c r="I35" s="3"/>
      <c r="J35" s="3">
        <v>34.335999999999999</v>
      </c>
    </row>
    <row r="36" spans="1:13" x14ac:dyDescent="0.3">
      <c r="A36" t="s">
        <v>40</v>
      </c>
      <c r="B36" s="3">
        <f t="shared" ref="B36:E36" si="48">+B33-B34-B35</f>
        <v>220.07300000000001</v>
      </c>
      <c r="C36" s="3">
        <f t="shared" si="48"/>
        <v>417.71699999999998</v>
      </c>
      <c r="D36" s="3">
        <f t="shared" si="48"/>
        <v>725.49800000000005</v>
      </c>
      <c r="E36" s="3">
        <f t="shared" si="48"/>
        <v>315.42700000000002</v>
      </c>
      <c r="F36" s="3">
        <f>+F33-F34-F35</f>
        <v>236.828</v>
      </c>
      <c r="G36" s="3">
        <f t="shared" ref="G36:J36" si="49">+G33-G34-G35</f>
        <v>503.33600000000001</v>
      </c>
      <c r="H36" s="3">
        <f t="shared" si="49"/>
        <v>772.75900000000001</v>
      </c>
      <c r="I36" s="3">
        <f t="shared" si="49"/>
        <v>388.95299999999997</v>
      </c>
      <c r="J36" s="3">
        <f t="shared" si="49"/>
        <v>261.52999999999997</v>
      </c>
      <c r="L36">
        <v>1022.474</v>
      </c>
      <c r="M36">
        <v>1145.1780000000001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Cadal Duarte Morais</dc:creator>
  <cp:lastModifiedBy>Alexandre Duarte Morais</cp:lastModifiedBy>
  <dcterms:created xsi:type="dcterms:W3CDTF">2024-04-23T17:56:01Z</dcterms:created>
  <dcterms:modified xsi:type="dcterms:W3CDTF">2024-04-25T14:04:24Z</dcterms:modified>
</cp:coreProperties>
</file>