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0FD53BF4-5EE7-4C01-8A22-C78D89814200}" xr6:coauthVersionLast="47" xr6:coauthVersionMax="47" xr10:uidLastSave="{00000000-0000-0000-0000-000000000000}"/>
  <bookViews>
    <workbookView xWindow="-135" yWindow="-135" windowWidth="29070" windowHeight="15750" activeTab="1" xr2:uid="{BFD37FB3-99A8-4C17-B33B-ABA391F983B7}"/>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6" i="1"/>
  <c r="B5" i="1"/>
  <c r="AH3" i="2"/>
  <c r="Y3" i="2"/>
  <c r="X43" i="2"/>
  <c r="W43" i="2"/>
  <c r="V43" i="2"/>
  <c r="U43" i="2"/>
  <c r="T43" i="2"/>
  <c r="S43" i="2"/>
  <c r="R43" i="2"/>
  <c r="Q43" i="2"/>
  <c r="P43" i="2"/>
  <c r="Y43" i="2"/>
  <c r="Y46" i="2"/>
  <c r="Y45" i="2"/>
  <c r="Y16" i="2"/>
  <c r="Y55" i="2"/>
  <c r="Y53" i="2"/>
  <c r="X3" i="2"/>
  <c r="X55" i="2"/>
  <c r="X53" i="2"/>
  <c r="AP6" i="2"/>
  <c r="AG48" i="2"/>
  <c r="AF48" i="2"/>
  <c r="AH22" i="2"/>
  <c r="AI22" i="2" s="1"/>
  <c r="AJ22" i="2" s="1"/>
  <c r="AK22" i="2" s="1"/>
  <c r="AL22" i="2" s="1"/>
  <c r="AM22" i="2" s="1"/>
  <c r="AI21" i="2"/>
  <c r="AJ21" i="2" s="1"/>
  <c r="AK21" i="2" s="1"/>
  <c r="AL21" i="2" s="1"/>
  <c r="AM21" i="2" s="1"/>
  <c r="AH21" i="2"/>
  <c r="AH17" i="2"/>
  <c r="AI17" i="2" s="1"/>
  <c r="AJ17" i="2" s="1"/>
  <c r="AK17" i="2" s="1"/>
  <c r="AL17" i="2" s="1"/>
  <c r="AM17" i="2" s="1"/>
  <c r="AH11" i="2"/>
  <c r="AI11" i="2" s="1"/>
  <c r="AJ11" i="2" s="1"/>
  <c r="AH10" i="2"/>
  <c r="AH40" i="2" s="1"/>
  <c r="AG40" i="2"/>
  <c r="AI9" i="2"/>
  <c r="AJ9" i="2" s="1"/>
  <c r="AH9" i="2"/>
  <c r="AH8" i="2"/>
  <c r="AH38" i="2" s="1"/>
  <c r="AH7" i="2"/>
  <c r="AH37" i="2" s="1"/>
  <c r="AM36" i="2"/>
  <c r="AL36" i="2"/>
  <c r="AH6" i="2"/>
  <c r="AI6" i="2" s="1"/>
  <c r="AJ6" i="2" s="1"/>
  <c r="AK6" i="2" s="1"/>
  <c r="AL6" i="2" s="1"/>
  <c r="AM6" i="2" s="1"/>
  <c r="AH5" i="2"/>
  <c r="AI5" i="2" s="1"/>
  <c r="AJ5" i="2" s="1"/>
  <c r="AI4" i="2"/>
  <c r="AH4" i="2"/>
  <c r="AH33" i="2"/>
  <c r="AH2" i="2"/>
  <c r="AI2" i="2" s="1"/>
  <c r="AJ2" i="2" s="1"/>
  <c r="AA16" i="2"/>
  <c r="AG94" i="2"/>
  <c r="AF94" i="2"/>
  <c r="AE94" i="2"/>
  <c r="AD94" i="2"/>
  <c r="AC94" i="2"/>
  <c r="AB94" i="2"/>
  <c r="AA94" i="2"/>
  <c r="AG86" i="2"/>
  <c r="AF86" i="2"/>
  <c r="AE86" i="2"/>
  <c r="AD86" i="2"/>
  <c r="AC86" i="2"/>
  <c r="AB86" i="2"/>
  <c r="AA86" i="2"/>
  <c r="W11" i="2"/>
  <c r="W10" i="2"/>
  <c r="W9" i="2"/>
  <c r="W8" i="2"/>
  <c r="W7" i="2"/>
  <c r="W6" i="2"/>
  <c r="W5" i="2"/>
  <c r="W4" i="2"/>
  <c r="W3" i="2"/>
  <c r="W2" i="2"/>
  <c r="AG53" i="2"/>
  <c r="AG1" i="2"/>
  <c r="AH1" i="2" s="1"/>
  <c r="AI1" i="2" s="1"/>
  <c r="AJ1" i="2" s="1"/>
  <c r="AK1" i="2" s="1"/>
  <c r="AL1" i="2" s="1"/>
  <c r="AM1" i="2" s="1"/>
  <c r="AH41" i="2"/>
  <c r="AH39" i="2"/>
  <c r="AH32" i="2"/>
  <c r="AG41" i="2"/>
  <c r="AG39" i="2"/>
  <c r="AG38" i="2"/>
  <c r="AG37" i="2"/>
  <c r="AG36" i="2"/>
  <c r="AG35" i="2"/>
  <c r="AG34" i="2"/>
  <c r="AG33" i="2"/>
  <c r="AG32" i="2"/>
  <c r="AG23" i="2"/>
  <c r="AG16" i="2"/>
  <c r="AG19" i="2" s="1"/>
  <c r="W53" i="2"/>
  <c r="S10" i="2"/>
  <c r="S9" i="2"/>
  <c r="S8" i="2"/>
  <c r="S7" i="2"/>
  <c r="S6" i="2"/>
  <c r="S5" i="2"/>
  <c r="S4" i="2"/>
  <c r="S3" i="2"/>
  <c r="S2" i="2"/>
  <c r="O11" i="2"/>
  <c r="O9" i="2"/>
  <c r="O8" i="2"/>
  <c r="O7" i="2"/>
  <c r="O6" i="2"/>
  <c r="O5" i="2"/>
  <c r="O4" i="2"/>
  <c r="O3" i="2"/>
  <c r="O2" i="2"/>
  <c r="AF41" i="2"/>
  <c r="AE41" i="2"/>
  <c r="AD41" i="2"/>
  <c r="AC41" i="2"/>
  <c r="AF39" i="2"/>
  <c r="AE39" i="2"/>
  <c r="AD39" i="2"/>
  <c r="AC39" i="2"/>
  <c r="AF38" i="2"/>
  <c r="AE38" i="2"/>
  <c r="AD38" i="2"/>
  <c r="AC38" i="2"/>
  <c r="AF37" i="2"/>
  <c r="AE37" i="2"/>
  <c r="AD37" i="2"/>
  <c r="AC37" i="2"/>
  <c r="AF36" i="2"/>
  <c r="AE36" i="2"/>
  <c r="AD36" i="2"/>
  <c r="AC36" i="2"/>
  <c r="AF35" i="2"/>
  <c r="AE35" i="2"/>
  <c r="AD35" i="2"/>
  <c r="AC35" i="2"/>
  <c r="AF34" i="2"/>
  <c r="AE34" i="2"/>
  <c r="AD34" i="2"/>
  <c r="AC34" i="2"/>
  <c r="AF33" i="2"/>
  <c r="AE33" i="2"/>
  <c r="AD33" i="2"/>
  <c r="AC33" i="2"/>
  <c r="AF32" i="2"/>
  <c r="AE32" i="2"/>
  <c r="AD32" i="2"/>
  <c r="AC32" i="2"/>
  <c r="AB41" i="2"/>
  <c r="AB39" i="2"/>
  <c r="AB38" i="2"/>
  <c r="AB37" i="2"/>
  <c r="AB36" i="2"/>
  <c r="AB35" i="2"/>
  <c r="AB34" i="2"/>
  <c r="AB33" i="2"/>
  <c r="AB32" i="2"/>
  <c r="AK36" i="2" l="1"/>
  <c r="AI10" i="2"/>
  <c r="AJ10" i="2" s="1"/>
  <c r="AI7" i="2"/>
  <c r="AJ7" i="2" s="1"/>
  <c r="AI3" i="2"/>
  <c r="AJ3" i="2" s="1"/>
  <c r="AK3" i="2" s="1"/>
  <c r="AI8" i="2"/>
  <c r="AI38" i="2" s="1"/>
  <c r="AH25" i="2"/>
  <c r="AI41" i="2"/>
  <c r="AJ41" i="2"/>
  <c r="AK11" i="2"/>
  <c r="AK10" i="2"/>
  <c r="AJ40" i="2"/>
  <c r="AI40" i="2"/>
  <c r="AI39" i="2"/>
  <c r="AK9" i="2"/>
  <c r="AJ39" i="2"/>
  <c r="AK7" i="2"/>
  <c r="AJ37" i="2"/>
  <c r="AI37" i="2"/>
  <c r="AH36" i="2"/>
  <c r="AJ36" i="2"/>
  <c r="AI36" i="2"/>
  <c r="AJ35" i="2"/>
  <c r="AK5" i="2"/>
  <c r="AI35" i="2"/>
  <c r="AH35" i="2"/>
  <c r="AI34" i="2"/>
  <c r="AJ4" i="2"/>
  <c r="AH34" i="2"/>
  <c r="AJ33" i="2"/>
  <c r="AH16" i="2"/>
  <c r="AI32" i="2"/>
  <c r="AK2" i="2"/>
  <c r="AJ32" i="2"/>
  <c r="AG45" i="2"/>
  <c r="AG24" i="2"/>
  <c r="AF16" i="2"/>
  <c r="AG43" i="2" s="1"/>
  <c r="AE16" i="2"/>
  <c r="AD16" i="2"/>
  <c r="AD19" i="2" s="1"/>
  <c r="AD45" i="2" s="1"/>
  <c r="AB16" i="2"/>
  <c r="AC16" i="2"/>
  <c r="K16" i="2"/>
  <c r="K19" i="2" s="1"/>
  <c r="K45" i="2" s="1"/>
  <c r="J16" i="2"/>
  <c r="J19" i="2" s="1"/>
  <c r="I16" i="2"/>
  <c r="I19" i="2" s="1"/>
  <c r="H16" i="2"/>
  <c r="H19" i="2" s="1"/>
  <c r="H45" i="2" s="1"/>
  <c r="G16" i="2"/>
  <c r="G19" i="2" s="1"/>
  <c r="F16" i="2"/>
  <c r="F19" i="2" s="1"/>
  <c r="E16" i="2"/>
  <c r="E19" i="2" s="1"/>
  <c r="D16" i="2"/>
  <c r="D19" i="2" s="1"/>
  <c r="C16" i="2"/>
  <c r="C19" i="2" s="1"/>
  <c r="C45" i="2" s="1"/>
  <c r="B16" i="2"/>
  <c r="B19" i="2" s="1"/>
  <c r="Y19" i="2"/>
  <c r="X16" i="2"/>
  <c r="X19" i="2" s="1"/>
  <c r="X45" i="2" s="1"/>
  <c r="W16" i="2"/>
  <c r="W19" i="2" s="1"/>
  <c r="W45" i="2" s="1"/>
  <c r="V16" i="2"/>
  <c r="V19" i="2" s="1"/>
  <c r="U16" i="2"/>
  <c r="U19" i="2" s="1"/>
  <c r="T16" i="2"/>
  <c r="T19" i="2" s="1"/>
  <c r="S16" i="2"/>
  <c r="R16" i="2"/>
  <c r="R19" i="2" s="1"/>
  <c r="Q16" i="2"/>
  <c r="Q19" i="2" s="1"/>
  <c r="Q45" i="2" s="1"/>
  <c r="P16" i="2"/>
  <c r="P19" i="2" s="1"/>
  <c r="P45" i="2" s="1"/>
  <c r="O16" i="2"/>
  <c r="O19" i="2" s="1"/>
  <c r="N16" i="2"/>
  <c r="N19" i="2" s="1"/>
  <c r="M16" i="2"/>
  <c r="M19" i="2" s="1"/>
  <c r="L16" i="2"/>
  <c r="L19" i="2" s="1"/>
  <c r="AC53" i="2"/>
  <c r="AB53" i="2"/>
  <c r="AA53" i="2"/>
  <c r="AA23" i="2"/>
  <c r="AC23" i="2"/>
  <c r="AB23" i="2"/>
  <c r="S23" i="2"/>
  <c r="AF53" i="2"/>
  <c r="AE53" i="2"/>
  <c r="AD53" i="2"/>
  <c r="AF23" i="2"/>
  <c r="AE23" i="2"/>
  <c r="AD23" i="2"/>
  <c r="U53" i="2"/>
  <c r="T53" i="2"/>
  <c r="S53" i="2"/>
  <c r="R53" i="2"/>
  <c r="Q53" i="2"/>
  <c r="P53" i="2"/>
  <c r="O53" i="2"/>
  <c r="N53" i="2"/>
  <c r="M53" i="2"/>
  <c r="L53" i="2"/>
  <c r="K53" i="2"/>
  <c r="J53" i="2"/>
  <c r="I53" i="2"/>
  <c r="H53" i="2"/>
  <c r="G53" i="2"/>
  <c r="F53" i="2"/>
  <c r="E53" i="2"/>
  <c r="D53" i="2"/>
  <c r="C53" i="2"/>
  <c r="B53" i="2"/>
  <c r="V53" i="2"/>
  <c r="Y23" i="2"/>
  <c r="X23" i="2"/>
  <c r="W23" i="2"/>
  <c r="U23" i="2"/>
  <c r="T23" i="2"/>
  <c r="R23" i="2"/>
  <c r="Q23" i="2"/>
  <c r="P23" i="2"/>
  <c r="O23" i="2"/>
  <c r="N23" i="2"/>
  <c r="M23" i="2"/>
  <c r="L23" i="2"/>
  <c r="K23" i="2"/>
  <c r="J23" i="2"/>
  <c r="I23" i="2"/>
  <c r="H23" i="2"/>
  <c r="G23" i="2"/>
  <c r="F23" i="2"/>
  <c r="E23" i="2"/>
  <c r="D23" i="2"/>
  <c r="C23" i="2"/>
  <c r="B23" i="2"/>
  <c r="V23" i="2"/>
  <c r="B4" i="1"/>
  <c r="B7" i="1" s="1"/>
  <c r="G16" i="1" l="1"/>
  <c r="G15" i="1"/>
  <c r="AL3" i="2"/>
  <c r="AK33" i="2"/>
  <c r="AL2" i="2"/>
  <c r="AK32" i="2"/>
  <c r="AH20" i="2"/>
  <c r="AH23" i="2" s="1"/>
  <c r="AH18" i="2"/>
  <c r="AJ8" i="2"/>
  <c r="AJ38" i="2" s="1"/>
  <c r="AL5" i="2"/>
  <c r="AK35" i="2"/>
  <c r="AI33" i="2"/>
  <c r="AI16" i="2"/>
  <c r="AL11" i="2"/>
  <c r="AK41" i="2"/>
  <c r="AK40" i="2"/>
  <c r="AL10" i="2"/>
  <c r="AL9" i="2"/>
  <c r="AK39" i="2"/>
  <c r="AK8" i="2"/>
  <c r="AL7" i="2"/>
  <c r="AK37" i="2"/>
  <c r="AH19" i="2"/>
  <c r="AH45" i="2" s="1"/>
  <c r="AH43" i="2"/>
  <c r="AJ16" i="2"/>
  <c r="AK4" i="2"/>
  <c r="AK34" i="2" s="1"/>
  <c r="AJ34" i="2"/>
  <c r="AF19" i="2"/>
  <c r="AF45" i="2" s="1"/>
  <c r="AF43" i="2"/>
  <c r="O55" i="2"/>
  <c r="AE19" i="2"/>
  <c r="AE45" i="2" s="1"/>
  <c r="AE43" i="2"/>
  <c r="AC19" i="2"/>
  <c r="AC24" i="2" s="1"/>
  <c r="AD43" i="2"/>
  <c r="AB19" i="2"/>
  <c r="AB24" i="2" s="1"/>
  <c r="AC43" i="2"/>
  <c r="AA19" i="2"/>
  <c r="AA45" i="2" s="1"/>
  <c r="AB43" i="2"/>
  <c r="L55" i="2"/>
  <c r="M55" i="2"/>
  <c r="P55" i="2"/>
  <c r="N55" i="2"/>
  <c r="W55" i="2"/>
  <c r="Q55" i="2"/>
  <c r="R55" i="2"/>
  <c r="K55" i="2"/>
  <c r="AG46" i="2"/>
  <c r="AG26" i="2"/>
  <c r="AG28" i="2" s="1"/>
  <c r="W24" i="2"/>
  <c r="S19" i="2"/>
  <c r="S24" i="2" s="1"/>
  <c r="T55" i="2"/>
  <c r="X24" i="2"/>
  <c r="Y24" i="2"/>
  <c r="Y26" i="2" s="1"/>
  <c r="Y28" i="2" s="1"/>
  <c r="Y30" i="2" s="1"/>
  <c r="AD24" i="2"/>
  <c r="D24" i="2"/>
  <c r="D45" i="2"/>
  <c r="M45" i="2"/>
  <c r="M24" i="2"/>
  <c r="N45" i="2"/>
  <c r="N24" i="2"/>
  <c r="G24" i="2"/>
  <c r="G45" i="2"/>
  <c r="O45" i="2"/>
  <c r="O24" i="2"/>
  <c r="L24" i="2"/>
  <c r="L45" i="2"/>
  <c r="E45" i="2"/>
  <c r="E24" i="2"/>
  <c r="F45" i="2"/>
  <c r="F24" i="2"/>
  <c r="V45" i="2"/>
  <c r="V24" i="2"/>
  <c r="I45" i="2"/>
  <c r="I24" i="2"/>
  <c r="B45" i="2"/>
  <c r="B24" i="2"/>
  <c r="J24" i="2"/>
  <c r="J45" i="2"/>
  <c r="R45" i="2"/>
  <c r="R24" i="2"/>
  <c r="H24" i="2"/>
  <c r="C24" i="2"/>
  <c r="K24" i="2"/>
  <c r="U55" i="2"/>
  <c r="S55" i="2"/>
  <c r="V55" i="2"/>
  <c r="P24" i="2"/>
  <c r="T24" i="2"/>
  <c r="T26" i="2" s="1"/>
  <c r="T28" i="2" s="1"/>
  <c r="T30" i="2" s="1"/>
  <c r="T45" i="2"/>
  <c r="Q24" i="2"/>
  <c r="U45" i="2"/>
  <c r="U24" i="2"/>
  <c r="X26" i="2" l="1"/>
  <c r="X28" i="2" s="1"/>
  <c r="X30" i="2" s="1"/>
  <c r="X46" i="2"/>
  <c r="AI18" i="2"/>
  <c r="AI19" i="2" s="1"/>
  <c r="AI20" i="2"/>
  <c r="AI23" i="2" s="1"/>
  <c r="AJ20" i="2"/>
  <c r="AJ23" i="2" s="1"/>
  <c r="AJ18" i="2"/>
  <c r="AI43" i="2"/>
  <c r="AF24" i="2"/>
  <c r="AG59" i="2" s="1"/>
  <c r="AM5" i="2"/>
  <c r="AM35" i="2" s="1"/>
  <c r="AL35" i="2"/>
  <c r="AM2" i="2"/>
  <c r="AM32" i="2" s="1"/>
  <c r="AL32" i="2"/>
  <c r="AM3" i="2"/>
  <c r="AM33" i="2" s="1"/>
  <c r="AL33" i="2"/>
  <c r="AM11" i="2"/>
  <c r="AM41" i="2" s="1"/>
  <c r="AL41" i="2"/>
  <c r="AM10" i="2"/>
  <c r="AM40" i="2" s="1"/>
  <c r="AL40" i="2"/>
  <c r="AM9" i="2"/>
  <c r="AM39" i="2" s="1"/>
  <c r="AL39" i="2"/>
  <c r="AK38" i="2"/>
  <c r="AL8" i="2"/>
  <c r="AM7" i="2"/>
  <c r="AM37" i="2" s="1"/>
  <c r="AL37" i="2"/>
  <c r="AJ19" i="2"/>
  <c r="AJ45" i="2" s="1"/>
  <c r="AJ43" i="2"/>
  <c r="AH24" i="2"/>
  <c r="AH26" i="2" s="1"/>
  <c r="AK16" i="2"/>
  <c r="AL4" i="2"/>
  <c r="AL34" i="2" s="1"/>
  <c r="W26" i="2"/>
  <c r="W28" i="2" s="1"/>
  <c r="W30" i="2" s="1"/>
  <c r="W46" i="2"/>
  <c r="AG30" i="2"/>
  <c r="AG62" i="2"/>
  <c r="AG76" i="2" s="1"/>
  <c r="AG96" i="2" s="1"/>
  <c r="AE24" i="2"/>
  <c r="AE26" i="2" s="1"/>
  <c r="AE28" i="2" s="1"/>
  <c r="AC45" i="2"/>
  <c r="AB45" i="2"/>
  <c r="AA24" i="2"/>
  <c r="AB59" i="2" s="1"/>
  <c r="AD59" i="2"/>
  <c r="AC59" i="2"/>
  <c r="AC46" i="2"/>
  <c r="AC26" i="2"/>
  <c r="AC28" i="2" s="1"/>
  <c r="AB46" i="2"/>
  <c r="AB26" i="2"/>
  <c r="AB28" i="2" s="1"/>
  <c r="AF26" i="2"/>
  <c r="AF28" i="2" s="1"/>
  <c r="AF46" i="2"/>
  <c r="S45" i="2"/>
  <c r="AD26" i="2"/>
  <c r="AD28" i="2" s="1"/>
  <c r="AD46" i="2"/>
  <c r="K26" i="2"/>
  <c r="K28" i="2" s="1"/>
  <c r="K30" i="2" s="1"/>
  <c r="K46" i="2"/>
  <c r="J26" i="2"/>
  <c r="J28" i="2" s="1"/>
  <c r="J30" i="2" s="1"/>
  <c r="J46" i="2"/>
  <c r="G26" i="2"/>
  <c r="G28" i="2" s="1"/>
  <c r="G30" i="2" s="1"/>
  <c r="G46" i="2"/>
  <c r="C26" i="2"/>
  <c r="C28" i="2" s="1"/>
  <c r="C30" i="2" s="1"/>
  <c r="C46" i="2"/>
  <c r="N26" i="2"/>
  <c r="N28" i="2" s="1"/>
  <c r="N30" i="2" s="1"/>
  <c r="N46" i="2"/>
  <c r="I26" i="2"/>
  <c r="I28" i="2" s="1"/>
  <c r="I30" i="2" s="1"/>
  <c r="I46" i="2"/>
  <c r="M46" i="2"/>
  <c r="M26" i="2"/>
  <c r="M28" i="2" s="1"/>
  <c r="M30" i="2" s="1"/>
  <c r="B26" i="2"/>
  <c r="B28" i="2" s="1"/>
  <c r="B30" i="2" s="1"/>
  <c r="B46" i="2"/>
  <c r="H26" i="2"/>
  <c r="H28" i="2" s="1"/>
  <c r="H30" i="2" s="1"/>
  <c r="H46" i="2"/>
  <c r="L46" i="2"/>
  <c r="L26" i="2"/>
  <c r="L28" i="2" s="1"/>
  <c r="L30" i="2" s="1"/>
  <c r="F26" i="2"/>
  <c r="F28" i="2" s="1"/>
  <c r="F30" i="2" s="1"/>
  <c r="F46" i="2"/>
  <c r="E46" i="2"/>
  <c r="E26" i="2"/>
  <c r="E28" i="2" s="1"/>
  <c r="E30" i="2" s="1"/>
  <c r="S26" i="2"/>
  <c r="S28" i="2" s="1"/>
  <c r="S30" i="2" s="1"/>
  <c r="S46" i="2"/>
  <c r="R26" i="2"/>
  <c r="R28" i="2" s="1"/>
  <c r="R30" i="2" s="1"/>
  <c r="R46" i="2"/>
  <c r="V26" i="2"/>
  <c r="V28" i="2" s="1"/>
  <c r="V30" i="2" s="1"/>
  <c r="V46" i="2"/>
  <c r="O26" i="2"/>
  <c r="O28" i="2" s="1"/>
  <c r="O30" i="2" s="1"/>
  <c r="O46" i="2"/>
  <c r="D46" i="2"/>
  <c r="D26" i="2"/>
  <c r="D28" i="2" s="1"/>
  <c r="D30" i="2" s="1"/>
  <c r="P26" i="2"/>
  <c r="P28" i="2" s="1"/>
  <c r="P30" i="2" s="1"/>
  <c r="P46" i="2"/>
  <c r="T46" i="2"/>
  <c r="Q26" i="2"/>
  <c r="Q28" i="2" s="1"/>
  <c r="Q30" i="2" s="1"/>
  <c r="Q46" i="2"/>
  <c r="U46" i="2"/>
  <c r="U26" i="2"/>
  <c r="U28" i="2" s="1"/>
  <c r="U30" i="2" s="1"/>
  <c r="AI45" i="2" l="1"/>
  <c r="AI24" i="2"/>
  <c r="AK43" i="2"/>
  <c r="AK20" i="2"/>
  <c r="AK23" i="2" s="1"/>
  <c r="AK18" i="2"/>
  <c r="AK19" i="2" s="1"/>
  <c r="AK45" i="2" s="1"/>
  <c r="AH27" i="2"/>
  <c r="AH28" i="2" s="1"/>
  <c r="AJ24" i="2"/>
  <c r="AM8" i="2"/>
  <c r="AM38" i="2" s="1"/>
  <c r="AL38" i="2"/>
  <c r="AH46" i="2"/>
  <c r="AM4" i="2"/>
  <c r="AM34" i="2" s="1"/>
  <c r="AL16" i="2"/>
  <c r="AE30" i="2"/>
  <c r="AE62" i="2"/>
  <c r="AE76" i="2" s="1"/>
  <c r="AE96" i="2" s="1"/>
  <c r="AD30" i="2"/>
  <c r="AD62" i="2"/>
  <c r="AD76" i="2" s="1"/>
  <c r="AD96" i="2" s="1"/>
  <c r="AF30" i="2"/>
  <c r="AF62" i="2"/>
  <c r="AF76" i="2" s="1"/>
  <c r="AF96" i="2" s="1"/>
  <c r="AE46" i="2"/>
  <c r="AE59" i="2"/>
  <c r="AF59" i="2"/>
  <c r="AC30" i="2"/>
  <c r="AC62" i="2"/>
  <c r="AC76" i="2" s="1"/>
  <c r="AC96" i="2" s="1"/>
  <c r="AB30" i="2"/>
  <c r="AB62" i="2"/>
  <c r="AB76" i="2" s="1"/>
  <c r="AB96" i="2" s="1"/>
  <c r="AA46" i="2"/>
  <c r="AA26" i="2"/>
  <c r="AA28" i="2" s="1"/>
  <c r="AH30" i="2" l="1"/>
  <c r="AH48" i="2"/>
  <c r="AI25" i="2" s="1"/>
  <c r="AI26" i="2" s="1"/>
  <c r="AI27" i="2" s="1"/>
  <c r="AI28" i="2" s="1"/>
  <c r="AI30" i="2" s="1"/>
  <c r="AK24" i="2"/>
  <c r="AK46" i="2" s="1"/>
  <c r="AI46" i="2"/>
  <c r="AL43" i="2"/>
  <c r="AL20" i="2"/>
  <c r="AL23" i="2" s="1"/>
  <c r="AL18" i="2"/>
  <c r="AL19" i="2" s="1"/>
  <c r="AL45" i="2" s="1"/>
  <c r="AJ46" i="2"/>
  <c r="AM16" i="2"/>
  <c r="AA30" i="2"/>
  <c r="AA62" i="2"/>
  <c r="AA76" i="2" s="1"/>
  <c r="AA96" i="2" s="1"/>
  <c r="AL24" i="2" l="1"/>
  <c r="AL46" i="2" s="1"/>
  <c r="AM43" i="2"/>
  <c r="AM20" i="2"/>
  <c r="AM23" i="2" s="1"/>
  <c r="AM24" i="2" s="1"/>
  <c r="AM46" i="2" s="1"/>
  <c r="AM18" i="2"/>
  <c r="AM19" i="2"/>
  <c r="AM45" i="2" s="1"/>
  <c r="AI48" i="2"/>
  <c r="AJ25" i="2" s="1"/>
  <c r="AJ26" i="2" s="1"/>
  <c r="AJ27" i="2" s="1"/>
  <c r="AJ28" i="2" s="1"/>
  <c r="AJ30" i="2" s="1"/>
  <c r="AJ48" i="2" l="1"/>
  <c r="AK25" i="2" l="1"/>
  <c r="AK26" i="2" s="1"/>
  <c r="AK27" i="2" s="1"/>
  <c r="AK28" i="2" s="1"/>
  <c r="AK48" i="2" l="1"/>
  <c r="AL25" i="2" s="1"/>
  <c r="AL26" i="2" s="1"/>
  <c r="AL27" i="2" s="1"/>
  <c r="AL28" i="2" s="1"/>
  <c r="AL48" i="2" s="1"/>
  <c r="AM25" i="2" l="1"/>
  <c r="AM26" i="2" s="1"/>
  <c r="AM27" i="2" s="1"/>
  <c r="AM28" i="2" s="1"/>
  <c r="AM48" i="2" l="1"/>
  <c r="AN28" i="2"/>
  <c r="AO28" i="2" s="1"/>
  <c r="AP28" i="2" s="1"/>
  <c r="AQ28" i="2" s="1"/>
  <c r="AR28" i="2" s="1"/>
  <c r="AS28" i="2" s="1"/>
  <c r="AT28" i="2" s="1"/>
  <c r="AU28" i="2" s="1"/>
  <c r="AV28" i="2" s="1"/>
  <c r="AW28" i="2" s="1"/>
  <c r="AX28" i="2" s="1"/>
  <c r="AY28" i="2" s="1"/>
  <c r="AZ28" i="2" s="1"/>
  <c r="BA28" i="2" s="1"/>
  <c r="BB28" i="2" s="1"/>
  <c r="BC28" i="2" s="1"/>
  <c r="BD28" i="2" s="1"/>
  <c r="BE28" i="2" s="1"/>
  <c r="BF28" i="2" s="1"/>
  <c r="BG28" i="2" s="1"/>
  <c r="BH28" i="2" s="1"/>
  <c r="BI28" i="2" s="1"/>
  <c r="BJ28" i="2" s="1"/>
  <c r="BK28" i="2" s="1"/>
  <c r="BL28" i="2" s="1"/>
  <c r="BM28" i="2" s="1"/>
  <c r="BN28" i="2" s="1"/>
  <c r="BO28" i="2" s="1"/>
  <c r="BP28" i="2" s="1"/>
  <c r="BQ28" i="2" s="1"/>
  <c r="BR28" i="2" s="1"/>
  <c r="BS28" i="2" s="1"/>
  <c r="BT28" i="2" s="1"/>
  <c r="BU28" i="2" s="1"/>
  <c r="BV28" i="2" s="1"/>
  <c r="BW28" i="2" s="1"/>
  <c r="BX28" i="2" s="1"/>
  <c r="BY28" i="2" s="1"/>
  <c r="BZ28" i="2" s="1"/>
  <c r="CA28" i="2" s="1"/>
  <c r="CB28" i="2" s="1"/>
  <c r="CC28" i="2" s="1"/>
  <c r="CD28" i="2" s="1"/>
  <c r="CE28" i="2" s="1"/>
  <c r="CF28" i="2" s="1"/>
  <c r="CG28" i="2" s="1"/>
  <c r="CH28" i="2" s="1"/>
  <c r="CI28" i="2" s="1"/>
  <c r="CJ28" i="2" s="1"/>
  <c r="CK28" i="2" s="1"/>
  <c r="CL28" i="2" s="1"/>
  <c r="CM28" i="2" s="1"/>
  <c r="CN28" i="2" s="1"/>
  <c r="CO28" i="2" s="1"/>
  <c r="CP28" i="2" s="1"/>
  <c r="CQ28" i="2" s="1"/>
  <c r="CR28" i="2" s="1"/>
  <c r="CS28" i="2" s="1"/>
  <c r="CT28" i="2" s="1"/>
  <c r="CU28" i="2" s="1"/>
  <c r="CV28" i="2" s="1"/>
  <c r="CW28" i="2" s="1"/>
  <c r="CX28" i="2" s="1"/>
  <c r="CY28" i="2" s="1"/>
  <c r="CZ28" i="2" s="1"/>
  <c r="DA28" i="2" s="1"/>
  <c r="DB28" i="2" s="1"/>
  <c r="DC28" i="2" s="1"/>
  <c r="DD28" i="2" s="1"/>
  <c r="DE28" i="2" s="1"/>
  <c r="DF28" i="2" s="1"/>
  <c r="DG28" i="2" s="1"/>
  <c r="DH28" i="2" s="1"/>
  <c r="DI28" i="2" s="1"/>
  <c r="DJ28" i="2" s="1"/>
  <c r="DK28" i="2" s="1"/>
  <c r="DL28" i="2" s="1"/>
  <c r="DM28" i="2" s="1"/>
  <c r="DN28" i="2" s="1"/>
  <c r="DO28" i="2" s="1"/>
  <c r="DP28" i="2" s="1"/>
  <c r="DQ28" i="2" s="1"/>
  <c r="DR28" i="2" s="1"/>
  <c r="DS28" i="2" s="1"/>
  <c r="DT28" i="2" s="1"/>
  <c r="DU28" i="2" s="1"/>
  <c r="DV28" i="2" s="1"/>
  <c r="DW28" i="2" s="1"/>
  <c r="DX28" i="2" s="1"/>
  <c r="DY28" i="2" s="1"/>
  <c r="DZ28" i="2" s="1"/>
  <c r="AP5" i="2" s="1"/>
  <c r="AP7" i="2" s="1"/>
  <c r="A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A4" authorId="0" shapeId="0" xr:uid="{3F0B5C19-3E9C-4952-B71E-9765B3590A41}">
      <text>
        <r>
          <rPr>
            <b/>
            <sz val="9"/>
            <color indexed="81"/>
            <rFont val="Tahoma"/>
            <family val="2"/>
          </rPr>
          <t>alexa:</t>
        </r>
        <r>
          <rPr>
            <sz val="9"/>
            <color indexed="81"/>
            <rFont val="Tahoma"/>
            <family val="2"/>
          </rPr>
          <t xml:space="preserve">
Windowns + devices after Q1 2025</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<sst xmlns="http://schemas.openxmlformats.org/spreadsheetml/2006/main" count="150" uniqueCount="136">
  <si>
    <t>ticket</t>
  </si>
  <si>
    <t>price</t>
  </si>
  <si>
    <t>shares</t>
  </si>
  <si>
    <t>mc</t>
  </si>
  <si>
    <t>cash</t>
  </si>
  <si>
    <t>debt</t>
  </si>
  <si>
    <t>ev</t>
  </si>
  <si>
    <t>Q1 2019</t>
  </si>
  <si>
    <t>Q2 2021</t>
  </si>
  <si>
    <t>Q1 2022</t>
  </si>
  <si>
    <t>Q1 2023</t>
  </si>
  <si>
    <t>Q1 2024</t>
  </si>
  <si>
    <t>Q1 2021</t>
  </si>
  <si>
    <t>Q2 2019</t>
  </si>
  <si>
    <t>Q3 2019</t>
  </si>
  <si>
    <t>Q4 2019</t>
  </si>
  <si>
    <t>Q4 2020</t>
  </si>
  <si>
    <t>Q3 2021</t>
  </si>
  <si>
    <t>Q4 2021</t>
  </si>
  <si>
    <t>Q2 2022</t>
  </si>
  <si>
    <t>Q3 2022</t>
  </si>
  <si>
    <t>Q4 2022</t>
  </si>
  <si>
    <t>Q2 2023</t>
  </si>
  <si>
    <t>Q3 2023</t>
  </si>
  <si>
    <t>Q4 2023</t>
  </si>
  <si>
    <t>Q4 2024</t>
  </si>
  <si>
    <t>Q2 2024</t>
  </si>
  <si>
    <t>Q3 2024</t>
  </si>
  <si>
    <t>Product</t>
  </si>
  <si>
    <t>Service</t>
  </si>
  <si>
    <t>Total Revenue</t>
  </si>
  <si>
    <t>COGS Product</t>
  </si>
  <si>
    <t>COGS Service</t>
  </si>
  <si>
    <t>Gross Profit</t>
  </si>
  <si>
    <t>R&amp;D</t>
  </si>
  <si>
    <t>S&amp;M</t>
  </si>
  <si>
    <t>G&amp;A</t>
  </si>
  <si>
    <t>Total Opex</t>
  </si>
  <si>
    <t>Operating Income</t>
  </si>
  <si>
    <t>Other Income</t>
  </si>
  <si>
    <t>Pretax Income</t>
  </si>
  <si>
    <t>Taxes</t>
  </si>
  <si>
    <t>Net Income</t>
  </si>
  <si>
    <t>Shares</t>
  </si>
  <si>
    <t>EPS</t>
  </si>
  <si>
    <t>Gross Margin</t>
  </si>
  <si>
    <t>Operating Margin</t>
  </si>
  <si>
    <t xml:space="preserve">CFFO </t>
  </si>
  <si>
    <t>CAPEX</t>
  </si>
  <si>
    <t>FCF</t>
  </si>
  <si>
    <t>FCF TTM</t>
  </si>
  <si>
    <t>Dividend per Share</t>
  </si>
  <si>
    <t>Server products and cloud services</t>
  </si>
  <si>
    <t>Office products and cloud services</t>
  </si>
  <si>
    <t xml:space="preserve">Windows </t>
  </si>
  <si>
    <t>LinkedIn</t>
  </si>
  <si>
    <t>Gaming</t>
  </si>
  <si>
    <t>Search and news advertising</t>
  </si>
  <si>
    <t>Enterprise Services</t>
  </si>
  <si>
    <t>Devices</t>
  </si>
  <si>
    <t>Other</t>
  </si>
  <si>
    <t>Dynamics</t>
  </si>
  <si>
    <t>Contribution Margin</t>
  </si>
  <si>
    <t>Revenue Y/Y</t>
  </si>
  <si>
    <t>Q1 2025</t>
  </si>
  <si>
    <t>D&amp;A</t>
  </si>
  <si>
    <t>SBC</t>
  </si>
  <si>
    <t>Net gains on investments</t>
  </si>
  <si>
    <t>Deferred income taxes</t>
  </si>
  <si>
    <t>AR</t>
  </si>
  <si>
    <t>Inventories</t>
  </si>
  <si>
    <t>Other CA</t>
  </si>
  <si>
    <t>Other LT assets</t>
  </si>
  <si>
    <t>AP</t>
  </si>
  <si>
    <t>Unearned revenue</t>
  </si>
  <si>
    <t>Income taxes</t>
  </si>
  <si>
    <t>Other CL</t>
  </si>
  <si>
    <t>Other LT liabilities</t>
  </si>
  <si>
    <t>CFFO</t>
  </si>
  <si>
    <t>Proceeds from issuance of ST debt</t>
  </si>
  <si>
    <t>Proceeds from issuance of debt</t>
  </si>
  <si>
    <t>Repayments of debt</t>
  </si>
  <si>
    <t>Common stock issued</t>
  </si>
  <si>
    <t>Dividends payments</t>
  </si>
  <si>
    <t>Repurchase of stock</t>
  </si>
  <si>
    <t xml:space="preserve">Other </t>
  </si>
  <si>
    <t>CFFF</t>
  </si>
  <si>
    <t>Additions to PPE</t>
  </si>
  <si>
    <t>Acquisitions</t>
  </si>
  <si>
    <t>Purchase of investments</t>
  </si>
  <si>
    <t>Maturities of investments</t>
  </si>
  <si>
    <t>Sales of investments</t>
  </si>
  <si>
    <t>Securities lending payable</t>
  </si>
  <si>
    <t>CFFI</t>
  </si>
  <si>
    <t>FX</t>
  </si>
  <si>
    <t>Net Change in cash</t>
  </si>
  <si>
    <t>Cash Premium on debt exhange</t>
  </si>
  <si>
    <t>net cash</t>
  </si>
  <si>
    <t>ROIC</t>
  </si>
  <si>
    <t>Maturity</t>
  </si>
  <si>
    <t>Discount</t>
  </si>
  <si>
    <t>NPV</t>
  </si>
  <si>
    <t>Net Cash</t>
  </si>
  <si>
    <t>Mkt value</t>
  </si>
  <si>
    <t>Price</t>
  </si>
  <si>
    <t>Founded</t>
  </si>
  <si>
    <t>Founder</t>
  </si>
  <si>
    <t>CEO</t>
  </si>
  <si>
    <t>HQ</t>
  </si>
  <si>
    <t>Bill Gates and Paul Allen</t>
  </si>
  <si>
    <t>Satya Nadella</t>
  </si>
  <si>
    <t>Redmond, Washington, US</t>
  </si>
  <si>
    <t>IPO</t>
  </si>
  <si>
    <t>Industry</t>
  </si>
  <si>
    <t>Software, Cloud computing, PC, Gaming, Consumer eletronics</t>
  </si>
  <si>
    <t>Employees</t>
  </si>
  <si>
    <t>220k</t>
  </si>
  <si>
    <t>-LinkedIn for $26,2 billion in 2016</t>
  </si>
  <si>
    <t>-GitHub for $7,5 billion in 2018</t>
  </si>
  <si>
    <t>-Activision Blizzard for $68,7 billion in 2022</t>
  </si>
  <si>
    <t>1986, NASDAQ</t>
  </si>
  <si>
    <t>Recent Acquisitions:</t>
  </si>
  <si>
    <t>#2 Cloud computing</t>
  </si>
  <si>
    <t>Top-tier AI software and services</t>
  </si>
  <si>
    <t xml:space="preserve">Top 3 Gaming </t>
  </si>
  <si>
    <t>Top 5 PC and Devices</t>
  </si>
  <si>
    <t># 2 Search engines</t>
  </si>
  <si>
    <t>#1 Software development and productivity software</t>
  </si>
  <si>
    <t>Future Outlook:</t>
  </si>
  <si>
    <t>AI</t>
  </si>
  <si>
    <t>Heavy investments in cloud computing</t>
  </si>
  <si>
    <t>Productivity Software</t>
  </si>
  <si>
    <t>Strategic Acquisitions</t>
  </si>
  <si>
    <t>EV/FCF</t>
  </si>
  <si>
    <t>Q2 2025</t>
  </si>
  <si>
    <t>EV/OCF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</si>
</sst>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0.0%"/>
    <numFmt numFmtId="166" formatCode="0.0\x"/>
  </numFmts>
  <fonts count="6" x14ac:knownFonts="1">
    <font>
      <sz val="11"/>
      <color theme="1"/>
      <name val="Aptos Narrow"/>
      <family val="2"/>
      <scheme val="minor"/>
    </font>
    <font>
      <sz val="11"/>
      <color theme="1"/>
      <name val="Aptos Narrow"/>
      <family val="2"/>
      <scheme val="minor"/>
    </font>
    <font>
      <b/>
      <sz val="10"/>
      <color theme="1"/>
      <name val="Arial"/>
      <family val="2"/>
    </font>
    <font>
      <sz val="10"/>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0" borderId="0" xfId="0" applyFont="1"/>
    <xf numFmtId="0" fontId="3" fillId="0" borderId="0" xfId="0" applyFont="1"/>
    <xf numFmtId="3" fontId="3" fillId="0" borderId="0" xfId="0" applyNumberFormat="1" applyFont="1"/>
    <xf numFmtId="3" fontId="2" fillId="0" borderId="0" xfId="0" applyNumberFormat="1" applyFont="1"/>
    <xf numFmtId="164" fontId="3" fillId="0" borderId="0" xfId="0" applyNumberFormat="1" applyFont="1"/>
    <xf numFmtId="9" fontId="3" fillId="0" borderId="0" xfId="0" applyNumberFormat="1" applyFont="1"/>
    <xf numFmtId="10" fontId="3" fillId="0" borderId="0" xfId="0" applyNumberFormat="1" applyFont="1"/>
    <xf numFmtId="10" fontId="3" fillId="0" borderId="0" xfId="1" applyNumberFormat="1" applyFont="1"/>
    <xf numFmtId="0" fontId="3" fillId="0" borderId="0" xfId="0" quotePrefix="1" applyFont="1"/>
    <xf numFmtId="0" fontId="3" fillId="0" borderId="0" xfId="0" applyFont="1" applyAlignment="1">
      <alignment horizontal="right"/>
    </xf>
    <xf numFmtId="3" fontId="3" fillId="0" borderId="0" xfId="0" applyNumberFormat="1" applyFont="1" applyAlignment="1">
      <alignment horizontal="right"/>
    </xf>
    <xf numFmtId="0" fontId="3" fillId="0" borderId="0" xfId="0" applyFont="1" applyAlignment="1">
      <alignment horizontal="left"/>
    </xf>
    <xf numFmtId="165" fontId="3" fillId="0" borderId="0" xfId="0" applyNumberFormat="1" applyFont="1"/>
    <xf numFmtId="166" fontId="3"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model!$A$2</c:f>
              <c:strCache>
                <c:ptCount val="1"/>
                <c:pt idx="0">
                  <c:v>Server products and cloud services</c:v>
                </c:pt>
              </c:strCache>
            </c:strRef>
          </c:tx>
          <c:spPr>
            <a:solidFill>
              <a:schemeClr val="accent1"/>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model!$AA$2:$AG$2</c:f>
              <c:numCache>
                <c:formatCode>#,##0</c:formatCode>
                <c:ptCount val="7"/>
                <c:pt idx="0">
                  <c:v>26129</c:v>
                </c:pt>
                <c:pt idx="1">
                  <c:v>32622</c:v>
                </c:pt>
                <c:pt idx="2">
                  <c:v>41379</c:v>
                </c:pt>
                <c:pt idx="3">
                  <c:v>52589</c:v>
                </c:pt>
                <c:pt idx="4">
                  <c:v>67321</c:v>
                </c:pt>
                <c:pt idx="5">
                  <c:v>79970</c:v>
                </c:pt>
                <c:pt idx="6">
                  <c:v>97726</c:v>
                </c:pt>
              </c:numCache>
            </c:numRef>
          </c:val>
          <c:extLst>
            <c:ext xmlns:c16="http://schemas.microsoft.com/office/drawing/2014/chart" uri="{C3380CC4-5D6E-409C-BE32-E72D297353CC}">
              <c16:uniqueId val="{00000000-8777-459B-BC34-20639BF6543C}"/>
            </c:ext>
          </c:extLst>
        </c:ser>
        <c:ser>
          <c:idx val="1"/>
          <c:order val="1"/>
          <c:tx>
            <c:strRef>
              <c:f>model!$A$3</c:f>
              <c:strCache>
                <c:ptCount val="1"/>
                <c:pt idx="0">
                  <c:v>Office products and cloud services</c:v>
                </c:pt>
              </c:strCache>
            </c:strRef>
          </c:tx>
          <c:spPr>
            <a:solidFill>
              <a:schemeClr val="accent2"/>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model!$AA$3:$AG$3</c:f>
              <c:numCache>
                <c:formatCode>#,##0</c:formatCode>
                <c:ptCount val="7"/>
                <c:pt idx="0">
                  <c:v>28316</c:v>
                </c:pt>
                <c:pt idx="1">
                  <c:v>31769</c:v>
                </c:pt>
                <c:pt idx="2">
                  <c:v>35316</c:v>
                </c:pt>
                <c:pt idx="3">
                  <c:v>39872</c:v>
                </c:pt>
                <c:pt idx="4">
                  <c:v>44862</c:v>
                </c:pt>
                <c:pt idx="5">
                  <c:v>48848</c:v>
                </c:pt>
                <c:pt idx="6">
                  <c:v>54875</c:v>
                </c:pt>
              </c:numCache>
            </c:numRef>
          </c:val>
          <c:extLst>
            <c:ext xmlns:c16="http://schemas.microsoft.com/office/drawing/2014/chart" uri="{C3380CC4-5D6E-409C-BE32-E72D297353CC}">
              <c16:uniqueId val="{00000001-8777-459B-BC34-20639BF6543C}"/>
            </c:ext>
          </c:extLst>
        </c:ser>
        <c:ser>
          <c:idx val="2"/>
          <c:order val="2"/>
          <c:tx>
            <c:strRef>
              <c:f>model!$A$4</c:f>
              <c:strCache>
                <c:ptCount val="1"/>
                <c:pt idx="0">
                  <c:v>Windows </c:v>
                </c:pt>
              </c:strCache>
            </c:strRef>
          </c:tx>
          <c:spPr>
            <a:solidFill>
              <a:schemeClr val="accent3"/>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model!$AA$4:$AG$4</c:f>
              <c:numCache>
                <c:formatCode>#,##0</c:formatCode>
                <c:ptCount val="7"/>
                <c:pt idx="0">
                  <c:v>19518</c:v>
                </c:pt>
                <c:pt idx="1">
                  <c:v>20395</c:v>
                </c:pt>
                <c:pt idx="2">
                  <c:v>22294</c:v>
                </c:pt>
                <c:pt idx="3">
                  <c:v>22488</c:v>
                </c:pt>
                <c:pt idx="4">
                  <c:v>24761</c:v>
                </c:pt>
                <c:pt idx="5">
                  <c:v>21507</c:v>
                </c:pt>
                <c:pt idx="6">
                  <c:v>23244</c:v>
                </c:pt>
              </c:numCache>
            </c:numRef>
          </c:val>
          <c:extLst>
            <c:ext xmlns:c16="http://schemas.microsoft.com/office/drawing/2014/chart" uri="{C3380CC4-5D6E-409C-BE32-E72D297353CC}">
              <c16:uniqueId val="{00000002-8777-459B-BC34-20639BF6543C}"/>
            </c:ext>
          </c:extLst>
        </c:ser>
        <c:ser>
          <c:idx val="3"/>
          <c:order val="3"/>
          <c:tx>
            <c:strRef>
              <c:f>model!$A$5</c:f>
              <c:strCache>
                <c:ptCount val="1"/>
                <c:pt idx="0">
                  <c:v>LinkedIn</c:v>
                </c:pt>
              </c:strCache>
            </c:strRef>
          </c:tx>
          <c:spPr>
            <a:solidFill>
              <a:schemeClr val="accent4"/>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model!$AA$5:$AG$5</c:f>
              <c:numCache>
                <c:formatCode>#,##0</c:formatCode>
                <c:ptCount val="7"/>
                <c:pt idx="0">
                  <c:v>5259</c:v>
                </c:pt>
                <c:pt idx="1">
                  <c:v>6754</c:v>
                </c:pt>
                <c:pt idx="2">
                  <c:v>8077</c:v>
                </c:pt>
                <c:pt idx="3">
                  <c:v>15370</c:v>
                </c:pt>
                <c:pt idx="4">
                  <c:v>13816</c:v>
                </c:pt>
                <c:pt idx="5">
                  <c:v>14989</c:v>
                </c:pt>
                <c:pt idx="6">
                  <c:v>16372</c:v>
                </c:pt>
              </c:numCache>
            </c:numRef>
          </c:val>
          <c:extLst>
            <c:ext xmlns:c16="http://schemas.microsoft.com/office/drawing/2014/chart" uri="{C3380CC4-5D6E-409C-BE32-E72D297353CC}">
              <c16:uniqueId val="{00000003-8777-459B-BC34-20639BF6543C}"/>
            </c:ext>
          </c:extLst>
        </c:ser>
        <c:ser>
          <c:idx val="4"/>
          <c:order val="4"/>
          <c:tx>
            <c:strRef>
              <c:f>model!$A$6</c:f>
              <c:strCache>
                <c:ptCount val="1"/>
                <c:pt idx="0">
                  <c:v>Gaming</c:v>
                </c:pt>
              </c:strCache>
            </c:strRef>
          </c:tx>
          <c:spPr>
            <a:solidFill>
              <a:schemeClr val="accent5"/>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model!$AA$6:$AG$6</c:f>
              <c:numCache>
                <c:formatCode>#,##0</c:formatCode>
                <c:ptCount val="7"/>
                <c:pt idx="0">
                  <c:v>10353</c:v>
                </c:pt>
                <c:pt idx="1">
                  <c:v>11386</c:v>
                </c:pt>
                <c:pt idx="2">
                  <c:v>11575</c:v>
                </c:pt>
                <c:pt idx="3">
                  <c:v>10289</c:v>
                </c:pt>
                <c:pt idx="4">
                  <c:v>16230</c:v>
                </c:pt>
                <c:pt idx="5">
                  <c:v>15466</c:v>
                </c:pt>
                <c:pt idx="6">
                  <c:v>21503</c:v>
                </c:pt>
              </c:numCache>
            </c:numRef>
          </c:val>
          <c:extLst>
            <c:ext xmlns:c16="http://schemas.microsoft.com/office/drawing/2014/chart" uri="{C3380CC4-5D6E-409C-BE32-E72D297353CC}">
              <c16:uniqueId val="{00000004-8777-459B-BC34-20639BF6543C}"/>
            </c:ext>
          </c:extLst>
        </c:ser>
        <c:ser>
          <c:idx val="5"/>
          <c:order val="5"/>
          <c:tx>
            <c:strRef>
              <c:f>model!$A$7</c:f>
              <c:strCache>
                <c:ptCount val="1"/>
                <c:pt idx="0">
                  <c:v>Search and news advertising</c:v>
                </c:pt>
              </c:strCache>
            </c:strRef>
          </c:tx>
          <c:spPr>
            <a:solidFill>
              <a:schemeClr val="accent6"/>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model!$AA$7:$AG$7</c:f>
              <c:numCache>
                <c:formatCode>#,##0</c:formatCode>
                <c:ptCount val="7"/>
                <c:pt idx="0">
                  <c:v>7012</c:v>
                </c:pt>
                <c:pt idx="1">
                  <c:v>7628</c:v>
                </c:pt>
                <c:pt idx="2">
                  <c:v>7740</c:v>
                </c:pt>
                <c:pt idx="3">
                  <c:v>9267</c:v>
                </c:pt>
                <c:pt idx="4">
                  <c:v>11591</c:v>
                </c:pt>
                <c:pt idx="5">
                  <c:v>12158</c:v>
                </c:pt>
                <c:pt idx="6">
                  <c:v>12576</c:v>
                </c:pt>
              </c:numCache>
            </c:numRef>
          </c:val>
          <c:extLst>
            <c:ext xmlns:c16="http://schemas.microsoft.com/office/drawing/2014/chart" uri="{C3380CC4-5D6E-409C-BE32-E72D297353CC}">
              <c16:uniqueId val="{00000005-8777-459B-BC34-20639BF6543C}"/>
            </c:ext>
          </c:extLst>
        </c:ser>
        <c:ser>
          <c:idx val="6"/>
          <c:order val="6"/>
          <c:tx>
            <c:strRef>
              <c:f>model!$A$8</c:f>
              <c:strCache>
                <c:ptCount val="1"/>
                <c:pt idx="0">
                  <c:v>Enterprise Services</c:v>
                </c:pt>
              </c:strCache>
            </c:strRef>
          </c:tx>
          <c:spPr>
            <a:solidFill>
              <a:schemeClr val="accent1">
                <a:lumMod val="60000"/>
              </a:schemeClr>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model!$AA$8:$AG$8</c:f>
              <c:numCache>
                <c:formatCode>#,##0</c:formatCode>
                <c:ptCount val="7"/>
                <c:pt idx="0">
                  <c:v>5846</c:v>
                </c:pt>
                <c:pt idx="1">
                  <c:v>6124</c:v>
                </c:pt>
                <c:pt idx="2">
                  <c:v>6409</c:v>
                </c:pt>
                <c:pt idx="3">
                  <c:v>6943</c:v>
                </c:pt>
                <c:pt idx="4">
                  <c:v>7407</c:v>
                </c:pt>
                <c:pt idx="5">
                  <c:v>7900</c:v>
                </c:pt>
                <c:pt idx="6">
                  <c:v>7594</c:v>
                </c:pt>
              </c:numCache>
            </c:numRef>
          </c:val>
          <c:extLst>
            <c:ext xmlns:c16="http://schemas.microsoft.com/office/drawing/2014/chart" uri="{C3380CC4-5D6E-409C-BE32-E72D297353CC}">
              <c16:uniqueId val="{00000006-8777-459B-BC34-20639BF6543C}"/>
            </c:ext>
          </c:extLst>
        </c:ser>
        <c:ser>
          <c:idx val="7"/>
          <c:order val="7"/>
          <c:tx>
            <c:strRef>
              <c:f>model!$A$9</c:f>
              <c:strCache>
                <c:ptCount val="1"/>
                <c:pt idx="0">
                  <c:v>Devices</c:v>
                </c:pt>
              </c:strCache>
            </c:strRef>
          </c:tx>
          <c:spPr>
            <a:solidFill>
              <a:schemeClr val="accent2">
                <a:lumMod val="60000"/>
              </a:schemeClr>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model!$AA$9:$AG$9</c:f>
              <c:numCache>
                <c:formatCode>#,##0</c:formatCode>
                <c:ptCount val="7"/>
                <c:pt idx="0">
                  <c:v>5134</c:v>
                </c:pt>
                <c:pt idx="1">
                  <c:v>6095</c:v>
                </c:pt>
                <c:pt idx="2">
                  <c:v>6457</c:v>
                </c:pt>
                <c:pt idx="3">
                  <c:v>6791</c:v>
                </c:pt>
                <c:pt idx="4">
                  <c:v>6991</c:v>
                </c:pt>
                <c:pt idx="5">
                  <c:v>5521</c:v>
                </c:pt>
                <c:pt idx="6">
                  <c:v>4706</c:v>
                </c:pt>
              </c:numCache>
            </c:numRef>
          </c:val>
          <c:extLst>
            <c:ext xmlns:c16="http://schemas.microsoft.com/office/drawing/2014/chart" uri="{C3380CC4-5D6E-409C-BE32-E72D297353CC}">
              <c16:uniqueId val="{00000007-8777-459B-BC34-20639BF6543C}"/>
            </c:ext>
          </c:extLst>
        </c:ser>
        <c:ser>
          <c:idx val="8"/>
          <c:order val="8"/>
          <c:tx>
            <c:strRef>
              <c:f>model!$A$10</c:f>
              <c:strCache>
                <c:ptCount val="1"/>
                <c:pt idx="0">
                  <c:v>Dynamics</c:v>
                </c:pt>
              </c:strCache>
            </c:strRef>
          </c:tx>
          <c:spPr>
            <a:solidFill>
              <a:schemeClr val="accent3">
                <a:lumMod val="60000"/>
              </a:schemeClr>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model!$AA$10:$AG$10</c:f>
              <c:numCache>
                <c:formatCode>#,##0</c:formatCode>
                <c:ptCount val="7"/>
                <c:pt idx="5">
                  <c:v>5437</c:v>
                </c:pt>
                <c:pt idx="6">
                  <c:v>6481</c:v>
                </c:pt>
              </c:numCache>
            </c:numRef>
          </c:val>
          <c:extLst>
            <c:ext xmlns:c16="http://schemas.microsoft.com/office/drawing/2014/chart" uri="{C3380CC4-5D6E-409C-BE32-E72D297353CC}">
              <c16:uniqueId val="{00000008-8777-459B-BC34-20639BF6543C}"/>
            </c:ext>
          </c:extLst>
        </c:ser>
        <c:ser>
          <c:idx val="9"/>
          <c:order val="9"/>
          <c:tx>
            <c:strRef>
              <c:f>model!$A$11</c:f>
              <c:strCache>
                <c:ptCount val="1"/>
                <c:pt idx="0">
                  <c:v>Other</c:v>
                </c:pt>
              </c:strCache>
            </c:strRef>
          </c:tx>
          <c:spPr>
            <a:solidFill>
              <a:schemeClr val="accent4">
                <a:lumMod val="60000"/>
              </a:schemeClr>
            </a:solidFill>
            <a:ln>
              <a:noFill/>
            </a:ln>
            <a:effectLst/>
          </c:spPr>
          <c:invertIfNegative val="0"/>
          <c:cat>
            <c:numRef>
              <c:f>model!$AA$1:$AG$1</c:f>
              <c:numCache>
                <c:formatCode>General</c:formatCode>
                <c:ptCount val="7"/>
                <c:pt idx="0">
                  <c:v>2018</c:v>
                </c:pt>
                <c:pt idx="1">
                  <c:v>2019</c:v>
                </c:pt>
                <c:pt idx="2">
                  <c:v>2020</c:v>
                </c:pt>
                <c:pt idx="3">
                  <c:v>2021</c:v>
                </c:pt>
                <c:pt idx="4">
                  <c:v>2022</c:v>
                </c:pt>
                <c:pt idx="5">
                  <c:v>2023</c:v>
                </c:pt>
                <c:pt idx="6">
                  <c:v>2024</c:v>
                </c:pt>
              </c:numCache>
            </c:numRef>
          </c:cat>
          <c:val>
            <c:numRef>
              <c:f>model!$AA$11:$AG$11</c:f>
              <c:numCache>
                <c:formatCode>#,##0</c:formatCode>
                <c:ptCount val="7"/>
                <c:pt idx="0">
                  <c:v>2793</c:v>
                </c:pt>
                <c:pt idx="1">
                  <c:v>3070</c:v>
                </c:pt>
                <c:pt idx="2">
                  <c:v>3768</c:v>
                </c:pt>
                <c:pt idx="3">
                  <c:v>4479</c:v>
                </c:pt>
                <c:pt idx="4">
                  <c:v>5291</c:v>
                </c:pt>
                <c:pt idx="5">
                  <c:v>119</c:v>
                </c:pt>
                <c:pt idx="6">
                  <c:v>45</c:v>
                </c:pt>
              </c:numCache>
            </c:numRef>
          </c:val>
          <c:extLst>
            <c:ext xmlns:c16="http://schemas.microsoft.com/office/drawing/2014/chart" uri="{C3380CC4-5D6E-409C-BE32-E72D297353CC}">
              <c16:uniqueId val="{00000009-8777-459B-BC34-20639BF6543C}"/>
            </c:ext>
          </c:extLst>
        </c:ser>
        <c:dLbls>
          <c:showLegendKey val="0"/>
          <c:showVal val="0"/>
          <c:showCatName val="0"/>
          <c:showSerName val="0"/>
          <c:showPercent val="0"/>
          <c:showBubbleSize val="0"/>
        </c:dLbls>
        <c:gapWidth val="150"/>
        <c:overlap val="100"/>
        <c:axId val="2101675263"/>
        <c:axId val="2101672863"/>
      </c:barChart>
      <c:catAx>
        <c:axId val="210167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672863"/>
        <c:crosses val="autoZero"/>
        <c:auto val="1"/>
        <c:lblAlgn val="ctr"/>
        <c:lblOffset val="100"/>
        <c:noMultiLvlLbl val="0"/>
      </c:catAx>
      <c:valAx>
        <c:axId val="210167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675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model!$A$55</c:f>
              <c:strCache>
                <c:ptCount val="1"/>
                <c:pt idx="0">
                  <c:v>FCF TTM</c:v>
                </c:pt>
              </c:strCache>
            </c:strRef>
          </c:tx>
          <c:spPr>
            <a:solidFill>
              <a:schemeClr val="accent1"/>
            </a:solidFill>
            <a:ln>
              <a:noFill/>
            </a:ln>
            <a:effectLst/>
          </c:spPr>
          <c:invertIfNegative val="0"/>
          <c:cat>
            <c:strRef>
              <c:f>model!$K$1:$W$1</c:f>
              <c:strCache>
                <c:ptCount val="13"/>
                <c:pt idx="0">
                  <c:v>Q4 2021</c:v>
                </c:pt>
                <c:pt idx="1">
                  <c:v>Q1 2022</c:v>
                </c:pt>
                <c:pt idx="2">
                  <c:v>Q2 2022</c:v>
                </c:pt>
                <c:pt idx="3">
                  <c:v>Q3 2022</c:v>
                </c:pt>
                <c:pt idx="4">
                  <c:v>Q4 2022</c:v>
                </c:pt>
                <c:pt idx="5">
                  <c:v>Q1 2023</c:v>
                </c:pt>
                <c:pt idx="6">
                  <c:v>Q2 2023</c:v>
                </c:pt>
                <c:pt idx="7">
                  <c:v>Q3 2023</c:v>
                </c:pt>
                <c:pt idx="8">
                  <c:v>Q4 2023</c:v>
                </c:pt>
                <c:pt idx="9">
                  <c:v>Q1 2024</c:v>
                </c:pt>
                <c:pt idx="10">
                  <c:v>Q2 2024</c:v>
                </c:pt>
                <c:pt idx="11">
                  <c:v>Q3 2024</c:v>
                </c:pt>
                <c:pt idx="12">
                  <c:v>Q4 2024</c:v>
                </c:pt>
              </c:strCache>
            </c:strRef>
          </c:cat>
          <c:val>
            <c:numRef>
              <c:f>model!$K$55:$W$55</c:f>
              <c:numCache>
                <c:formatCode>#,##0</c:formatCode>
                <c:ptCount val="13"/>
                <c:pt idx="0">
                  <c:v>63649</c:v>
                </c:pt>
                <c:pt idx="1">
                  <c:v>61834</c:v>
                </c:pt>
                <c:pt idx="2">
                  <c:v>58118</c:v>
                </c:pt>
                <c:pt idx="3">
                  <c:v>55906</c:v>
                </c:pt>
                <c:pt idx="4">
                  <c:v>57406</c:v>
                </c:pt>
                <c:pt idx="5">
                  <c:v>57406</c:v>
                </c:pt>
                <c:pt idx="6">
                  <c:v>57406</c:v>
                </c:pt>
                <c:pt idx="7">
                  <c:v>57406</c:v>
                </c:pt>
                <c:pt idx="8">
                  <c:v>59475</c:v>
                </c:pt>
                <c:pt idx="9">
                  <c:v>63226</c:v>
                </c:pt>
                <c:pt idx="10">
                  <c:v>67445</c:v>
                </c:pt>
                <c:pt idx="11">
                  <c:v>70576</c:v>
                </c:pt>
                <c:pt idx="12">
                  <c:v>74071</c:v>
                </c:pt>
              </c:numCache>
            </c:numRef>
          </c:val>
          <c:extLst>
            <c:ext xmlns:c16="http://schemas.microsoft.com/office/drawing/2014/chart" uri="{C3380CC4-5D6E-409C-BE32-E72D297353CC}">
              <c16:uniqueId val="{00000000-5D47-4F96-AB75-C6EA7763358D}"/>
            </c:ext>
          </c:extLst>
        </c:ser>
        <c:dLbls>
          <c:showLegendKey val="0"/>
          <c:showVal val="0"/>
          <c:showCatName val="0"/>
          <c:showSerName val="0"/>
          <c:showPercent val="0"/>
          <c:showBubbleSize val="0"/>
        </c:dLbls>
        <c:gapWidth val="219"/>
        <c:overlap val="-27"/>
        <c:axId val="56530191"/>
        <c:axId val="56534991"/>
      </c:barChart>
      <c:catAx>
        <c:axId val="5653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34991"/>
        <c:crosses val="autoZero"/>
        <c:auto val="1"/>
        <c:lblAlgn val="ctr"/>
        <c:lblOffset val="100"/>
        <c:noMultiLvlLbl val="0"/>
      </c:catAx>
      <c:valAx>
        <c:axId val="565349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30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1"/>
          <c:tx>
            <c:strRef>
              <c:f>model!$A$52</c:f>
              <c:strCache>
                <c:ptCount val="1"/>
                <c:pt idx="0">
                  <c:v>CAPEX</c:v>
                </c:pt>
              </c:strCache>
            </c:strRef>
          </c:tx>
          <c:spPr>
            <a:solidFill>
              <a:schemeClr val="accent1"/>
            </a:solidFill>
            <a:ln>
              <a:noFill/>
            </a:ln>
            <a:effectLst/>
          </c:spPr>
          <c:invertIfNegative val="0"/>
          <c:cat>
            <c:strRef>
              <c:f>model!$H$1:$W$1</c:f>
              <c:strCache>
                <c:ptCount val="16"/>
                <c:pt idx="0">
                  <c:v>Q1 2021</c:v>
                </c:pt>
                <c:pt idx="1">
                  <c:v>Q2 2021</c:v>
                </c:pt>
                <c:pt idx="2">
                  <c:v>Q3 2021</c:v>
                </c:pt>
                <c:pt idx="3">
                  <c:v>Q4 2021</c:v>
                </c:pt>
                <c:pt idx="4">
                  <c:v>Q1 2022</c:v>
                </c:pt>
                <c:pt idx="5">
                  <c:v>Q2 2022</c:v>
                </c:pt>
                <c:pt idx="6">
                  <c:v>Q3 2022</c:v>
                </c:pt>
                <c:pt idx="7">
                  <c:v>Q4 2022</c:v>
                </c:pt>
                <c:pt idx="8">
                  <c:v>Q1 2023</c:v>
                </c:pt>
                <c:pt idx="9">
                  <c:v>Q2 2023</c:v>
                </c:pt>
                <c:pt idx="10">
                  <c:v>Q3 2023</c:v>
                </c:pt>
                <c:pt idx="11">
                  <c:v>Q4 2023</c:v>
                </c:pt>
                <c:pt idx="12">
                  <c:v>Q1 2024</c:v>
                </c:pt>
                <c:pt idx="13">
                  <c:v>Q2 2024</c:v>
                </c:pt>
                <c:pt idx="14">
                  <c:v>Q3 2024</c:v>
                </c:pt>
                <c:pt idx="15">
                  <c:v>Q4 2024</c:v>
                </c:pt>
              </c:strCache>
            </c:strRef>
          </c:cat>
          <c:val>
            <c:numRef>
              <c:f>model!$H$52:$W$52</c:f>
              <c:numCache>
                <c:formatCode>#,##0</c:formatCode>
                <c:ptCount val="16"/>
                <c:pt idx="0">
                  <c:v>5810</c:v>
                </c:pt>
                <c:pt idx="1">
                  <c:v>5865</c:v>
                </c:pt>
                <c:pt idx="2">
                  <c:v>5340</c:v>
                </c:pt>
                <c:pt idx="3">
                  <c:v>6452</c:v>
                </c:pt>
                <c:pt idx="4">
                  <c:v>6283</c:v>
                </c:pt>
                <c:pt idx="5">
                  <c:v>6274</c:v>
                </c:pt>
                <c:pt idx="6">
                  <c:v>6607</c:v>
                </c:pt>
                <c:pt idx="7">
                  <c:v>6871</c:v>
                </c:pt>
                <c:pt idx="8">
                  <c:v>6283</c:v>
                </c:pt>
                <c:pt idx="9">
                  <c:v>6274</c:v>
                </c:pt>
                <c:pt idx="10">
                  <c:v>6607</c:v>
                </c:pt>
                <c:pt idx="11">
                  <c:v>8943</c:v>
                </c:pt>
                <c:pt idx="12">
                  <c:v>9917</c:v>
                </c:pt>
                <c:pt idx="13">
                  <c:v>9735</c:v>
                </c:pt>
                <c:pt idx="14">
                  <c:v>10952</c:v>
                </c:pt>
                <c:pt idx="15">
                  <c:v>13873</c:v>
                </c:pt>
              </c:numCache>
            </c:numRef>
          </c:val>
          <c:extLst>
            <c:ext xmlns:c16="http://schemas.microsoft.com/office/drawing/2014/chart" uri="{C3380CC4-5D6E-409C-BE32-E72D297353CC}">
              <c16:uniqueId val="{00000000-17B4-47C3-984F-E77F2AA96AB4}"/>
            </c:ext>
          </c:extLst>
        </c:ser>
        <c:dLbls>
          <c:showLegendKey val="0"/>
          <c:showVal val="0"/>
          <c:showCatName val="0"/>
          <c:showSerName val="0"/>
          <c:showPercent val="0"/>
          <c:showBubbleSize val="0"/>
        </c:dLbls>
        <c:gapWidth val="219"/>
        <c:overlap val="-27"/>
        <c:axId val="1292366639"/>
        <c:axId val="1292379599"/>
        <c:extLst>
          <c:ext xmlns:c15="http://schemas.microsoft.com/office/drawing/2012/chart" uri="{02D57815-91ED-43cb-92C2-25804820EDAC}">
            <c15:filteredBarSeries>
              <c15:ser>
                <c:idx val="1"/>
                <c:order val="0"/>
                <c:tx>
                  <c:strRef>
                    <c:extLst>
                      <c:ext uri="{02D57815-91ED-43cb-92C2-25804820EDAC}">
                        <c15:formulaRef>
                          <c15:sqref>model!$A$51</c15:sqref>
                        </c15:formulaRef>
                      </c:ext>
                    </c:extLst>
                    <c:strCache>
                      <c:ptCount val="1"/>
                      <c:pt idx="0">
                        <c:v>CFFO </c:v>
                      </c:pt>
                    </c:strCache>
                  </c:strRef>
                </c:tx>
                <c:spPr>
                  <a:solidFill>
                    <a:schemeClr val="accent2"/>
                  </a:solidFill>
                  <a:ln>
                    <a:noFill/>
                  </a:ln>
                  <a:effectLst/>
                </c:spPr>
                <c:invertIfNegative val="0"/>
                <c:val>
                  <c:numRef>
                    <c:extLst>
                      <c:ext uri="{02D57815-91ED-43cb-92C2-25804820EDAC}">
                        <c15:formulaRef>
                          <c15:sqref>model!$H$51:$W$51</c15:sqref>
                        </c15:formulaRef>
                      </c:ext>
                    </c:extLst>
                    <c:numCache>
                      <c:formatCode>#,##0</c:formatCode>
                      <c:ptCount val="16"/>
                      <c:pt idx="0">
                        <c:v>24540</c:v>
                      </c:pt>
                      <c:pt idx="1">
                        <c:v>14480</c:v>
                      </c:pt>
                      <c:pt idx="2">
                        <c:v>25386</c:v>
                      </c:pt>
                      <c:pt idx="3">
                        <c:v>22710</c:v>
                      </c:pt>
                      <c:pt idx="4">
                        <c:v>23198</c:v>
                      </c:pt>
                      <c:pt idx="5">
                        <c:v>11173</c:v>
                      </c:pt>
                      <c:pt idx="6">
                        <c:v>24441</c:v>
                      </c:pt>
                      <c:pt idx="7">
                        <c:v>24629</c:v>
                      </c:pt>
                      <c:pt idx="8">
                        <c:v>23198</c:v>
                      </c:pt>
                      <c:pt idx="9">
                        <c:v>11173</c:v>
                      </c:pt>
                      <c:pt idx="10">
                        <c:v>24441</c:v>
                      </c:pt>
                      <c:pt idx="11">
                        <c:v>28770</c:v>
                      </c:pt>
                      <c:pt idx="12">
                        <c:v>30583</c:v>
                      </c:pt>
                      <c:pt idx="13">
                        <c:v>18853</c:v>
                      </c:pt>
                      <c:pt idx="14">
                        <c:v>31917</c:v>
                      </c:pt>
                      <c:pt idx="15">
                        <c:v>37195</c:v>
                      </c:pt>
                    </c:numCache>
                  </c:numRef>
                </c:val>
                <c:extLst>
                  <c:ext xmlns:c16="http://schemas.microsoft.com/office/drawing/2014/chart" uri="{C3380CC4-5D6E-409C-BE32-E72D297353CC}">
                    <c16:uniqueId val="{00000001-17B4-47C3-984F-E77F2AA96AB4}"/>
                  </c:ext>
                </c:extLst>
              </c15:ser>
            </c15:filteredBarSeries>
          </c:ext>
        </c:extLst>
      </c:barChart>
      <c:catAx>
        <c:axId val="129236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379599"/>
        <c:crosses val="autoZero"/>
        <c:auto val="1"/>
        <c:lblAlgn val="ctr"/>
        <c:lblOffset val="100"/>
        <c:noMultiLvlLbl val="0"/>
      </c:catAx>
      <c:valAx>
        <c:axId val="1292379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366639"/>
        <c:crosses val="autoZero"/>
        <c:crossBetween val="between"/>
      </c:valAx>
      <c:spPr>
        <a:noFill/>
        <a:ln>
          <a:noFill/>
        </a:ln>
        <a:effectLst/>
      </c:spPr>
    </c:plotArea>
    <c:legend>
      <c:legendPos val="r"/>
      <c:layout>
        <c:manualLayout>
          <c:xMode val="edge"/>
          <c:yMode val="edge"/>
          <c:x val="0.9134425167401059"/>
          <c:y val="0.4404398098886288"/>
          <c:w val="7.5337286906457857E-2"/>
          <c:h val="6.75680404814263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9525</xdr:colOff>
      <xdr:row>0</xdr:row>
      <xdr:rowOff>28574</xdr:rowOff>
    </xdr:from>
    <xdr:to>
      <xdr:col>22</xdr:col>
      <xdr:colOff>66675</xdr:colOff>
      <xdr:row>27</xdr:row>
      <xdr:rowOff>142874</xdr:rowOff>
    </xdr:to>
    <xdr:graphicFrame macro="">
      <xdr:nvGraphicFramePr>
        <xdr:cNvPr id="2" name="Chart 1">
          <a:extLst>
            <a:ext uri="{FF2B5EF4-FFF2-40B4-BE49-F238E27FC236}">
              <a16:creationId xmlns:a16="http://schemas.microsoft.com/office/drawing/2014/main" id="{8BE53D2E-EA13-40F7-9AE8-8E0EFC279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30</xdr:row>
      <xdr:rowOff>0</xdr:rowOff>
    </xdr:from>
    <xdr:to>
      <xdr:col>22</xdr:col>
      <xdr:colOff>57150</xdr:colOff>
      <xdr:row>48</xdr:row>
      <xdr:rowOff>95250</xdr:rowOff>
    </xdr:to>
    <xdr:graphicFrame macro="">
      <xdr:nvGraphicFramePr>
        <xdr:cNvPr id="3" name="Chart 2">
          <a:extLst>
            <a:ext uri="{FF2B5EF4-FFF2-40B4-BE49-F238E27FC236}">
              <a16:creationId xmlns:a16="http://schemas.microsoft.com/office/drawing/2014/main" id="{65F9999E-F99C-4AEB-990A-2E236A263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609599</xdr:colOff>
      <xdr:row>49</xdr:row>
      <xdr:rowOff>161924</xdr:rowOff>
    </xdr:from>
    <xdr:to>
      <xdr:col>22</xdr:col>
      <xdr:colOff>85724</xdr:colOff>
      <xdr:row>69</xdr:row>
      <xdr:rowOff>95249</xdr:rowOff>
    </xdr:to>
    <xdr:graphicFrame macro="">
      <xdr:nvGraphicFramePr>
        <xdr:cNvPr id="4" name="Chart 3">
          <a:extLst>
            <a:ext uri="{FF2B5EF4-FFF2-40B4-BE49-F238E27FC236}">
              <a16:creationId xmlns:a16="http://schemas.microsoft.com/office/drawing/2014/main" id="{387F81F1-02B9-487C-ADCA-1A2292DC8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21166</xdr:colOff>
      <xdr:row>0</xdr:row>
      <xdr:rowOff>0</xdr:rowOff>
    </xdr:from>
    <xdr:to>
      <xdr:col>25</xdr:col>
      <xdr:colOff>31749</xdr:colOff>
      <xdr:row>55</xdr:row>
      <xdr:rowOff>95250</xdr:rowOff>
    </xdr:to>
    <xdr:cxnSp macro="">
      <xdr:nvCxnSpPr>
        <xdr:cNvPr id="3" name="Straight Connector 2">
          <a:extLst>
            <a:ext uri="{FF2B5EF4-FFF2-40B4-BE49-F238E27FC236}">
              <a16:creationId xmlns:a16="http://schemas.microsoft.com/office/drawing/2014/main" id="{0EC5A0EF-287E-1C4D-3B63-E6CA2BC3956F}"/>
            </a:ext>
          </a:extLst>
        </xdr:cNvPr>
        <xdr:cNvCxnSpPr/>
      </xdr:nvCxnSpPr>
      <xdr:spPr>
        <a:xfrm>
          <a:off x="17597966" y="0"/>
          <a:ext cx="10583" cy="940858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10584</xdr:colOff>
      <xdr:row>0</xdr:row>
      <xdr:rowOff>0</xdr:rowOff>
    </xdr:from>
    <xdr:to>
      <xdr:col>33</xdr:col>
      <xdr:colOff>42334</xdr:colOff>
      <xdr:row>61</xdr:row>
      <xdr:rowOff>21167</xdr:rowOff>
    </xdr:to>
    <xdr:cxnSp macro="">
      <xdr:nvCxnSpPr>
        <xdr:cNvPr id="7" name="Straight Connector 6">
          <a:extLst>
            <a:ext uri="{FF2B5EF4-FFF2-40B4-BE49-F238E27FC236}">
              <a16:creationId xmlns:a16="http://schemas.microsoft.com/office/drawing/2014/main" id="{4733C6DC-7FE9-8112-E33F-8EF891D8417B}"/>
            </a:ext>
          </a:extLst>
        </xdr:cNvPr>
        <xdr:cNvCxnSpPr/>
      </xdr:nvCxnSpPr>
      <xdr:spPr>
        <a:xfrm>
          <a:off x="22119167" y="0"/>
          <a:ext cx="31750" cy="1183216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381</v>
    <v>0.98819999999999997</v>
    <v>-10.3165</v>
    <v>-2.5992999999999999E-2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394.8</v>
    <v>3</v>
    <v>Software &amp; IT Services</v>
    <v>Stock</v>
    <v>45723.707814409376</v>
    <v>4</v>
    <v>385.82</v>
    <v>2873780440677</v>
    <v>MICROSOFT CORPORATION</v>
    <v>MICROSOFT CORPORATION</v>
    <v>392.09</v>
    <v>31.970099999999999</v>
    <v>396.89</v>
    <v>386.57350000000002</v>
    <v>7433982000</v>
    <v>MSFT</v>
    <v>MICROSOFT CORPORATION (XNAS:MSFT)</v>
    <v>8520751</v>
    <v>24814655</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AE2C-8EA2-4D12-9CDB-9E7A0FE4DCEE}">
  <dimension ref="A1:G29"/>
  <sheetViews>
    <sheetView showGridLines="0" zoomScale="80" zoomScaleNormal="80" workbookViewId="0">
      <selection activeCell="G25" sqref="G25"/>
    </sheetView>
  </sheetViews>
  <sheetFormatPr defaultColWidth="9.140625" defaultRowHeight="12.75" x14ac:dyDescent="0.2"/>
  <cols>
    <col min="1" max="1" width="9.140625" style="2"/>
    <col min="2" max="2" width="10.140625" style="2" bestFit="1" customWidth="1"/>
    <col min="3" max="3" width="9.140625" style="2"/>
    <col min="4" max="4" width="10.85546875" style="2" bestFit="1" customWidth="1"/>
    <col min="5" max="16384" width="9.140625" style="2"/>
  </cols>
  <sheetData>
    <row r="1" spans="1:7" x14ac:dyDescent="0.2">
      <c r="A1" s="2" t="s">
        <v>0</v>
      </c>
      <c r="B1" s="10" t="e" vm="1">
        <v>#VALUE!</v>
      </c>
      <c r="D1" s="1" t="s">
        <v>105</v>
      </c>
      <c r="E1" s="12">
        <v>1975</v>
      </c>
    </row>
    <row r="2" spans="1:7" x14ac:dyDescent="0.2">
      <c r="A2" s="2" t="s">
        <v>1</v>
      </c>
      <c r="B2" s="10" cm="1">
        <f t="array" aca="1" ref="B2" ca="1">+_FV(B1,"price")</f>
        <v>386.57350000000002</v>
      </c>
      <c r="D2" s="1" t="s">
        <v>106</v>
      </c>
      <c r="E2" s="12" t="s">
        <v>109</v>
      </c>
    </row>
    <row r="3" spans="1:7" x14ac:dyDescent="0.2">
      <c r="A3" s="2" t="s">
        <v>2</v>
      </c>
      <c r="B3" s="10">
        <v>7432.3057939999999</v>
      </c>
      <c r="D3" s="1" t="s">
        <v>107</v>
      </c>
      <c r="E3" s="12" t="s">
        <v>110</v>
      </c>
    </row>
    <row r="4" spans="1:7" x14ac:dyDescent="0.2">
      <c r="A4" s="2" t="s">
        <v>3</v>
      </c>
      <c r="B4" s="11">
        <f ca="1">+B2*B3</f>
        <v>2873132.4638568591</v>
      </c>
      <c r="D4" s="1" t="s">
        <v>108</v>
      </c>
      <c r="E4" s="12" t="s">
        <v>111</v>
      </c>
    </row>
    <row r="5" spans="1:7" x14ac:dyDescent="0.2">
      <c r="A5" s="2" t="s">
        <v>4</v>
      </c>
      <c r="B5" s="11">
        <f>17482+54073+15581</f>
        <v>87136</v>
      </c>
      <c r="C5" s="2" t="s">
        <v>134</v>
      </c>
      <c r="D5" s="1" t="s">
        <v>112</v>
      </c>
      <c r="E5" s="12" t="s">
        <v>120</v>
      </c>
    </row>
    <row r="6" spans="1:7" x14ac:dyDescent="0.2">
      <c r="A6" s="2" t="s">
        <v>5</v>
      </c>
      <c r="B6" s="11">
        <f>5248+39722</f>
        <v>44970</v>
      </c>
      <c r="C6" s="2" t="s">
        <v>134</v>
      </c>
      <c r="D6" s="4" t="s">
        <v>113</v>
      </c>
      <c r="E6" s="12" t="s">
        <v>114</v>
      </c>
    </row>
    <row r="7" spans="1:7" x14ac:dyDescent="0.2">
      <c r="A7" s="2" t="s">
        <v>6</v>
      </c>
      <c r="B7" s="11">
        <f ca="1">+B4-B5+B6</f>
        <v>2830966.4638568591</v>
      </c>
      <c r="D7" s="1" t="s">
        <v>115</v>
      </c>
      <c r="E7" s="12" t="s">
        <v>116</v>
      </c>
    </row>
    <row r="9" spans="1:7" x14ac:dyDescent="0.2">
      <c r="A9" s="2" t="s">
        <v>122</v>
      </c>
    </row>
    <row r="10" spans="1:7" x14ac:dyDescent="0.2">
      <c r="A10" s="2" t="s">
        <v>127</v>
      </c>
    </row>
    <row r="11" spans="1:7" x14ac:dyDescent="0.2">
      <c r="A11" s="2" t="s">
        <v>123</v>
      </c>
    </row>
    <row r="12" spans="1:7" x14ac:dyDescent="0.2">
      <c r="A12" s="2" t="s">
        <v>124</v>
      </c>
    </row>
    <row r="13" spans="1:7" x14ac:dyDescent="0.2">
      <c r="A13" s="2" t="s">
        <v>125</v>
      </c>
    </row>
    <row r="14" spans="1:7" x14ac:dyDescent="0.2">
      <c r="A14" s="2" t="s">
        <v>126</v>
      </c>
    </row>
    <row r="15" spans="1:7" x14ac:dyDescent="0.2">
      <c r="F15" s="1" t="s">
        <v>133</v>
      </c>
      <c r="G15" s="14">
        <f ca="1">+B7/model!AG53</f>
        <v>38.219633376852741</v>
      </c>
    </row>
    <row r="16" spans="1:7" x14ac:dyDescent="0.2">
      <c r="F16" s="1" t="s">
        <v>135</v>
      </c>
      <c r="G16" s="14">
        <f ca="1">+B7/model!AG51</f>
        <v>23.880339304390283</v>
      </c>
    </row>
    <row r="19" spans="1:1" x14ac:dyDescent="0.2">
      <c r="A19" s="1" t="s">
        <v>121</v>
      </c>
    </row>
    <row r="20" spans="1:1" x14ac:dyDescent="0.2">
      <c r="A20" s="9" t="s">
        <v>117</v>
      </c>
    </row>
    <row r="21" spans="1:1" x14ac:dyDescent="0.2">
      <c r="A21" s="9" t="s">
        <v>118</v>
      </c>
    </row>
    <row r="22" spans="1:1" x14ac:dyDescent="0.2">
      <c r="A22" s="9" t="s">
        <v>119</v>
      </c>
    </row>
    <row r="24" spans="1:1" x14ac:dyDescent="0.2">
      <c r="A24" s="1" t="s">
        <v>128</v>
      </c>
    </row>
    <row r="25" spans="1:1" x14ac:dyDescent="0.2">
      <c r="A25" s="2" t="s">
        <v>130</v>
      </c>
    </row>
    <row r="26" spans="1:1" x14ac:dyDescent="0.2">
      <c r="A26" s="2" t="s">
        <v>129</v>
      </c>
    </row>
    <row r="27" spans="1:1" x14ac:dyDescent="0.2">
      <c r="A27" s="2" t="s">
        <v>56</v>
      </c>
    </row>
    <row r="28" spans="1:1" x14ac:dyDescent="0.2">
      <c r="A28" s="2" t="s">
        <v>131</v>
      </c>
    </row>
    <row r="29" spans="1:1" x14ac:dyDescent="0.2">
      <c r="A29" s="2" t="s">
        <v>132</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01D54-5F87-48DB-8147-D21F4D2C7B9D}">
  <dimension ref="A1:DZ96"/>
  <sheetViews>
    <sheetView tabSelected="1" zoomScale="90" zoomScaleNormal="90" workbookViewId="0">
      <pane xSplit="1" ySplit="1" topLeftCell="R2" activePane="bottomRight" state="frozen"/>
      <selection pane="topRight" activeCell="B1" sqref="B1"/>
      <selection pane="bottomLeft" activeCell="A2" sqref="A2"/>
      <selection pane="bottomRight" activeCell="AG43" sqref="AG43"/>
    </sheetView>
  </sheetViews>
  <sheetFormatPr defaultColWidth="9.140625" defaultRowHeight="12.75" x14ac:dyDescent="0.2"/>
  <cols>
    <col min="1" max="1" width="37" style="2" bestFit="1" customWidth="1"/>
    <col min="2" max="41" width="9.140625" style="2"/>
    <col min="42" max="42" width="14.140625" style="2" bestFit="1" customWidth="1"/>
    <col min="43" max="122" width="9.140625" style="2"/>
    <col min="123" max="123" width="9.85546875" style="2" bestFit="1" customWidth="1"/>
    <col min="124" max="16384" width="9.140625" style="2"/>
  </cols>
  <sheetData>
    <row r="1" spans="1:44" x14ac:dyDescent="0.2">
      <c r="A1" s="1"/>
      <c r="B1" s="1"/>
      <c r="C1" s="1" t="s">
        <v>7</v>
      </c>
      <c r="D1" s="1" t="s">
        <v>13</v>
      </c>
      <c r="E1" s="1" t="s">
        <v>14</v>
      </c>
      <c r="F1" s="1" t="s">
        <v>15</v>
      </c>
      <c r="G1" s="1" t="s">
        <v>16</v>
      </c>
      <c r="H1" s="1" t="s">
        <v>12</v>
      </c>
      <c r="I1" s="1" t="s">
        <v>8</v>
      </c>
      <c r="J1" s="1" t="s">
        <v>17</v>
      </c>
      <c r="K1" s="1" t="s">
        <v>18</v>
      </c>
      <c r="L1" s="1" t="s">
        <v>9</v>
      </c>
      <c r="M1" s="1" t="s">
        <v>19</v>
      </c>
      <c r="N1" s="1" t="s">
        <v>20</v>
      </c>
      <c r="O1" s="1" t="s">
        <v>21</v>
      </c>
      <c r="P1" s="1" t="s">
        <v>10</v>
      </c>
      <c r="Q1" s="1" t="s">
        <v>22</v>
      </c>
      <c r="R1" s="1" t="s">
        <v>23</v>
      </c>
      <c r="S1" s="1" t="s">
        <v>24</v>
      </c>
      <c r="T1" s="1" t="s">
        <v>11</v>
      </c>
      <c r="U1" s="1" t="s">
        <v>26</v>
      </c>
      <c r="V1" s="1" t="s">
        <v>27</v>
      </c>
      <c r="W1" s="1" t="s">
        <v>25</v>
      </c>
      <c r="X1" s="1" t="s">
        <v>64</v>
      </c>
      <c r="Y1" s="1" t="s">
        <v>134</v>
      </c>
      <c r="AA1" s="1">
        <v>2018</v>
      </c>
      <c r="AB1" s="1">
        <v>2019</v>
      </c>
      <c r="AC1" s="1">
        <v>2020</v>
      </c>
      <c r="AD1" s="1">
        <v>2021</v>
      </c>
      <c r="AE1" s="1">
        <v>2022</v>
      </c>
      <c r="AF1" s="1">
        <v>2023</v>
      </c>
      <c r="AG1" s="1">
        <f>+AF1+1</f>
        <v>2024</v>
      </c>
      <c r="AH1" s="1">
        <f t="shared" ref="AH1:AM1" si="0">+AG1+1</f>
        <v>2025</v>
      </c>
      <c r="AI1" s="1">
        <f t="shared" si="0"/>
        <v>2026</v>
      </c>
      <c r="AJ1" s="1">
        <f t="shared" si="0"/>
        <v>2027</v>
      </c>
      <c r="AK1" s="1">
        <f t="shared" si="0"/>
        <v>2028</v>
      </c>
      <c r="AL1" s="1">
        <f t="shared" si="0"/>
        <v>2029</v>
      </c>
      <c r="AM1" s="1">
        <f t="shared" si="0"/>
        <v>2030</v>
      </c>
    </row>
    <row r="2" spans="1:44" x14ac:dyDescent="0.2">
      <c r="A2" s="2" t="s">
        <v>52</v>
      </c>
      <c r="B2" s="3"/>
      <c r="C2" s="3"/>
      <c r="D2" s="3"/>
      <c r="E2" s="3"/>
      <c r="F2" s="3"/>
      <c r="G2" s="3"/>
      <c r="H2" s="3"/>
      <c r="I2" s="3"/>
      <c r="J2" s="3"/>
      <c r="K2" s="3"/>
      <c r="L2" s="3">
        <v>15070</v>
      </c>
      <c r="M2" s="3">
        <v>16382</v>
      </c>
      <c r="N2" s="3">
        <v>17046</v>
      </c>
      <c r="O2" s="3">
        <f>+AE2-SUM(L2:N2)</f>
        <v>18823</v>
      </c>
      <c r="P2" s="3">
        <v>18388</v>
      </c>
      <c r="Q2" s="3">
        <v>19594</v>
      </c>
      <c r="R2" s="3">
        <v>20025</v>
      </c>
      <c r="S2" s="3">
        <f>+AF2-SUM(P2:R2)</f>
        <v>21963</v>
      </c>
      <c r="T2" s="3">
        <v>22308</v>
      </c>
      <c r="U2" s="3">
        <v>23953</v>
      </c>
      <c r="V2" s="3">
        <v>24832</v>
      </c>
      <c r="W2" s="3">
        <f>+AG2-SUM(T2:V2)</f>
        <v>26633</v>
      </c>
      <c r="X2" s="3">
        <v>22155</v>
      </c>
      <c r="Y2" s="3">
        <v>23641</v>
      </c>
      <c r="AA2" s="3">
        <v>26129</v>
      </c>
      <c r="AB2" s="3">
        <v>32622</v>
      </c>
      <c r="AC2" s="3">
        <v>41379</v>
      </c>
      <c r="AD2" s="3">
        <v>52589</v>
      </c>
      <c r="AE2" s="3">
        <v>67321</v>
      </c>
      <c r="AF2" s="3">
        <v>79970</v>
      </c>
      <c r="AG2" s="3">
        <v>97726</v>
      </c>
      <c r="AH2" s="3">
        <f>+AG2*1.2</f>
        <v>117271.2</v>
      </c>
      <c r="AI2" s="3">
        <f t="shared" ref="AI2:AM2" si="1">+AH2*1.2</f>
        <v>140725.44</v>
      </c>
      <c r="AJ2" s="3">
        <f t="shared" si="1"/>
        <v>168870.52799999999</v>
      </c>
      <c r="AK2" s="3">
        <f t="shared" si="1"/>
        <v>202644.63359999997</v>
      </c>
      <c r="AL2" s="3">
        <f t="shared" si="1"/>
        <v>243173.56031999996</v>
      </c>
      <c r="AM2" s="3">
        <f t="shared" si="1"/>
        <v>291808.27238399995</v>
      </c>
      <c r="AO2" s="2" t="s">
        <v>100</v>
      </c>
      <c r="AP2" s="13">
        <v>0.08</v>
      </c>
    </row>
    <row r="3" spans="1:44" x14ac:dyDescent="0.2">
      <c r="A3" s="2" t="s">
        <v>53</v>
      </c>
      <c r="B3" s="3"/>
      <c r="C3" s="3"/>
      <c r="D3" s="3"/>
      <c r="E3" s="3"/>
      <c r="F3" s="3"/>
      <c r="G3" s="3"/>
      <c r="H3" s="3"/>
      <c r="I3" s="3"/>
      <c r="J3" s="3"/>
      <c r="K3" s="3"/>
      <c r="L3" s="3">
        <v>10808</v>
      </c>
      <c r="M3" s="3">
        <v>11251</v>
      </c>
      <c r="N3" s="3">
        <v>11164</v>
      </c>
      <c r="O3" s="3">
        <f t="shared" ref="O3:O9" si="2">+AE3-SUM(L3:N3)</f>
        <v>11639</v>
      </c>
      <c r="P3" s="3">
        <v>11548</v>
      </c>
      <c r="Q3" s="3">
        <v>11837</v>
      </c>
      <c r="R3" s="3">
        <v>12438</v>
      </c>
      <c r="S3" s="3">
        <f t="shared" ref="S3:S10" si="3">+AF3-SUM(P3:R3)</f>
        <v>13025</v>
      </c>
      <c r="T3" s="3">
        <v>13140</v>
      </c>
      <c r="U3" s="3">
        <v>13477</v>
      </c>
      <c r="V3" s="3">
        <v>13911</v>
      </c>
      <c r="W3" s="3">
        <f t="shared" ref="W3:W11" si="4">+AG3-SUM(T3:V3)</f>
        <v>14347</v>
      </c>
      <c r="X3" s="3">
        <f>20449+1727</f>
        <v>22176</v>
      </c>
      <c r="Y3" s="3">
        <f>21117+1821</f>
        <v>22938</v>
      </c>
      <c r="AA3" s="3">
        <v>28316</v>
      </c>
      <c r="AB3" s="3">
        <v>31769</v>
      </c>
      <c r="AC3" s="3">
        <v>35316</v>
      </c>
      <c r="AD3" s="3">
        <v>39872</v>
      </c>
      <c r="AE3" s="3">
        <v>44862</v>
      </c>
      <c r="AF3" s="3">
        <v>48848</v>
      </c>
      <c r="AG3" s="3">
        <v>54875</v>
      </c>
      <c r="AH3" s="3">
        <f>+AG3*1.13</f>
        <v>62008.749999999993</v>
      </c>
      <c r="AI3" s="3">
        <f t="shared" ref="AI3:AM3" si="5">+AH3*1.1</f>
        <v>68209.625</v>
      </c>
      <c r="AJ3" s="3">
        <f t="shared" si="5"/>
        <v>75030.587500000009</v>
      </c>
      <c r="AK3" s="3">
        <f t="shared" si="5"/>
        <v>82533.64625000002</v>
      </c>
      <c r="AL3" s="3">
        <f t="shared" si="5"/>
        <v>90787.010875000036</v>
      </c>
      <c r="AM3" s="3">
        <f t="shared" si="5"/>
        <v>99865.711962500049</v>
      </c>
      <c r="AO3" s="2" t="s">
        <v>99</v>
      </c>
      <c r="AP3" s="6">
        <v>0.02</v>
      </c>
    </row>
    <row r="4" spans="1:44" x14ac:dyDescent="0.2">
      <c r="A4" s="2" t="s">
        <v>54</v>
      </c>
      <c r="B4" s="3"/>
      <c r="C4" s="3"/>
      <c r="D4" s="3"/>
      <c r="E4" s="3"/>
      <c r="F4" s="3"/>
      <c r="G4" s="3"/>
      <c r="H4" s="3"/>
      <c r="I4" s="3"/>
      <c r="J4" s="3"/>
      <c r="K4" s="3"/>
      <c r="L4" s="3">
        <v>5674</v>
      </c>
      <c r="M4" s="3">
        <v>6594</v>
      </c>
      <c r="N4" s="3">
        <v>6069</v>
      </c>
      <c r="O4" s="3">
        <f t="shared" si="2"/>
        <v>6424</v>
      </c>
      <c r="P4" s="3">
        <v>5313</v>
      </c>
      <c r="Q4" s="3">
        <v>4808</v>
      </c>
      <c r="R4" s="3">
        <v>5328</v>
      </c>
      <c r="S4" s="3">
        <f t="shared" si="3"/>
        <v>6058</v>
      </c>
      <c r="T4" s="3">
        <v>5567</v>
      </c>
      <c r="U4" s="3">
        <v>7111</v>
      </c>
      <c r="V4" s="3">
        <v>5929</v>
      </c>
      <c r="W4" s="3">
        <f t="shared" si="4"/>
        <v>4637</v>
      </c>
      <c r="X4" s="3">
        <v>4329</v>
      </c>
      <c r="Y4" s="3">
        <v>4512</v>
      </c>
      <c r="AA4" s="3">
        <v>19518</v>
      </c>
      <c r="AB4" s="3">
        <v>20395</v>
      </c>
      <c r="AC4" s="3">
        <v>22294</v>
      </c>
      <c r="AD4" s="3">
        <v>22488</v>
      </c>
      <c r="AE4" s="3">
        <v>24761</v>
      </c>
      <c r="AF4" s="3">
        <v>21507</v>
      </c>
      <c r="AG4" s="3">
        <v>23244</v>
      </c>
      <c r="AH4" s="3">
        <f>+AG4*1.06</f>
        <v>24638.640000000003</v>
      </c>
      <c r="AI4" s="3">
        <f t="shared" ref="AI4:AM4" si="6">+AH4*1.06</f>
        <v>26116.958400000003</v>
      </c>
      <c r="AJ4" s="3">
        <f t="shared" si="6"/>
        <v>27683.975904000006</v>
      </c>
      <c r="AK4" s="3">
        <f t="shared" si="6"/>
        <v>29345.01445824001</v>
      </c>
      <c r="AL4" s="3">
        <f t="shared" si="6"/>
        <v>31105.715325734411</v>
      </c>
      <c r="AM4" s="3">
        <f t="shared" si="6"/>
        <v>32972.05824527848</v>
      </c>
      <c r="AO4" s="2" t="s">
        <v>98</v>
      </c>
      <c r="AP4" s="6">
        <v>0.05</v>
      </c>
    </row>
    <row r="5" spans="1:44" x14ac:dyDescent="0.2">
      <c r="A5" s="2" t="s">
        <v>55</v>
      </c>
      <c r="B5" s="3"/>
      <c r="C5" s="3"/>
      <c r="D5" s="3"/>
      <c r="E5" s="3"/>
      <c r="F5" s="3"/>
      <c r="G5" s="3"/>
      <c r="H5" s="3"/>
      <c r="I5" s="3"/>
      <c r="J5" s="3"/>
      <c r="K5" s="3"/>
      <c r="L5" s="3">
        <v>3136</v>
      </c>
      <c r="M5" s="3">
        <v>5442</v>
      </c>
      <c r="N5" s="3">
        <v>3740</v>
      </c>
      <c r="O5" s="3">
        <f t="shared" si="2"/>
        <v>1498</v>
      </c>
      <c r="P5" s="3">
        <v>3663</v>
      </c>
      <c r="Q5" s="3">
        <v>4758</v>
      </c>
      <c r="R5" s="3">
        <v>3607</v>
      </c>
      <c r="S5" s="3">
        <f t="shared" si="3"/>
        <v>2961</v>
      </c>
      <c r="T5" s="3">
        <v>3919</v>
      </c>
      <c r="U5" s="3">
        <v>5262</v>
      </c>
      <c r="V5" s="3">
        <v>5451</v>
      </c>
      <c r="W5" s="3">
        <f t="shared" si="4"/>
        <v>1740</v>
      </c>
      <c r="X5" s="3">
        <v>4292</v>
      </c>
      <c r="Y5" s="3">
        <v>4587</v>
      </c>
      <c r="AA5" s="3">
        <v>5259</v>
      </c>
      <c r="AB5" s="3">
        <v>6754</v>
      </c>
      <c r="AC5" s="3">
        <v>8077</v>
      </c>
      <c r="AD5" s="3">
        <v>15370</v>
      </c>
      <c r="AE5" s="3">
        <v>13816</v>
      </c>
      <c r="AF5" s="3">
        <v>14989</v>
      </c>
      <c r="AG5" s="3">
        <v>16372</v>
      </c>
      <c r="AH5" s="3">
        <f>+AG5*1.08</f>
        <v>17681.760000000002</v>
      </c>
      <c r="AI5" s="3">
        <f t="shared" ref="AI5:AM5" si="7">+AH5*1.08</f>
        <v>19096.300800000005</v>
      </c>
      <c r="AJ5" s="3">
        <f t="shared" si="7"/>
        <v>20624.004864000006</v>
      </c>
      <c r="AK5" s="3">
        <f t="shared" si="7"/>
        <v>22273.925253120007</v>
      </c>
      <c r="AL5" s="3">
        <f t="shared" si="7"/>
        <v>24055.839273369609</v>
      </c>
      <c r="AM5" s="3">
        <f t="shared" si="7"/>
        <v>25980.306415239178</v>
      </c>
      <c r="AO5" s="2" t="s">
        <v>101</v>
      </c>
      <c r="AP5" s="3">
        <f>+NPV(AP2,AH28:DZ28)</f>
        <v>3413299.2627674816</v>
      </c>
    </row>
    <row r="6" spans="1:44" x14ac:dyDescent="0.2">
      <c r="A6" s="2" t="s">
        <v>56</v>
      </c>
      <c r="B6" s="3"/>
      <c r="C6" s="3"/>
      <c r="D6" s="3"/>
      <c r="E6" s="3"/>
      <c r="F6" s="3"/>
      <c r="G6" s="3"/>
      <c r="H6" s="3"/>
      <c r="I6" s="3"/>
      <c r="J6" s="3"/>
      <c r="K6" s="3"/>
      <c r="L6" s="3">
        <v>3593</v>
      </c>
      <c r="M6" s="3">
        <v>3531</v>
      </c>
      <c r="N6" s="3">
        <v>3437</v>
      </c>
      <c r="O6" s="3">
        <f t="shared" si="2"/>
        <v>5669</v>
      </c>
      <c r="P6" s="3">
        <v>3610</v>
      </c>
      <c r="Q6" s="3">
        <v>3876</v>
      </c>
      <c r="R6" s="3">
        <v>3697</v>
      </c>
      <c r="S6" s="3">
        <f t="shared" si="3"/>
        <v>4283</v>
      </c>
      <c r="T6" s="3">
        <v>3913</v>
      </c>
      <c r="U6" s="3">
        <v>4195</v>
      </c>
      <c r="V6" s="3">
        <v>4013</v>
      </c>
      <c r="W6" s="3">
        <f t="shared" si="4"/>
        <v>9382</v>
      </c>
      <c r="X6" s="3">
        <v>5621</v>
      </c>
      <c r="Y6" s="3">
        <v>6581</v>
      </c>
      <c r="AA6" s="3">
        <v>10353</v>
      </c>
      <c r="AB6" s="3">
        <v>11386</v>
      </c>
      <c r="AC6" s="3">
        <v>11575</v>
      </c>
      <c r="AD6" s="3">
        <v>10289</v>
      </c>
      <c r="AE6" s="3">
        <v>16230</v>
      </c>
      <c r="AF6" s="3">
        <v>15466</v>
      </c>
      <c r="AG6" s="3">
        <v>21503</v>
      </c>
      <c r="AH6" s="3">
        <f>+AG6*1.3</f>
        <v>27953.9</v>
      </c>
      <c r="AI6" s="3">
        <f>+AH6*1.1</f>
        <v>30749.290000000005</v>
      </c>
      <c r="AJ6" s="3">
        <f t="shared" ref="AJ6:AM6" si="8">+AI6*1.1</f>
        <v>33824.219000000005</v>
      </c>
      <c r="AK6" s="3">
        <f t="shared" si="8"/>
        <v>37206.640900000006</v>
      </c>
      <c r="AL6" s="3">
        <f t="shared" si="8"/>
        <v>40927.304990000011</v>
      </c>
      <c r="AM6" s="3">
        <f t="shared" si="8"/>
        <v>45020.035489000016</v>
      </c>
      <c r="AO6" s="2" t="s">
        <v>102</v>
      </c>
      <c r="AP6" s="3">
        <f>+AG48</f>
        <v>38513</v>
      </c>
    </row>
    <row r="7" spans="1:44" x14ac:dyDescent="0.2">
      <c r="A7" s="2" t="s">
        <v>57</v>
      </c>
      <c r="B7" s="3"/>
      <c r="C7" s="3"/>
      <c r="D7" s="3"/>
      <c r="E7" s="3"/>
      <c r="F7" s="3"/>
      <c r="G7" s="3"/>
      <c r="H7" s="3"/>
      <c r="I7" s="3"/>
      <c r="J7" s="3"/>
      <c r="K7" s="3"/>
      <c r="L7" s="3">
        <v>2656</v>
      </c>
      <c r="M7" s="3">
        <v>3064</v>
      </c>
      <c r="N7" s="3">
        <v>2945</v>
      </c>
      <c r="O7" s="3">
        <f t="shared" si="2"/>
        <v>2926</v>
      </c>
      <c r="P7" s="3">
        <v>2928</v>
      </c>
      <c r="Q7" s="3">
        <v>3223</v>
      </c>
      <c r="R7" s="3">
        <v>3045</v>
      </c>
      <c r="S7" s="3">
        <f t="shared" si="3"/>
        <v>2962</v>
      </c>
      <c r="T7" s="3">
        <v>3053</v>
      </c>
      <c r="U7" s="3">
        <v>3220</v>
      </c>
      <c r="V7" s="3">
        <v>3134</v>
      </c>
      <c r="W7" s="3">
        <f t="shared" si="4"/>
        <v>3169</v>
      </c>
      <c r="X7" s="3">
        <v>3225</v>
      </c>
      <c r="Y7" s="3">
        <v>3558</v>
      </c>
      <c r="AA7" s="3">
        <v>7012</v>
      </c>
      <c r="AB7" s="3">
        <v>7628</v>
      </c>
      <c r="AC7" s="3">
        <v>7740</v>
      </c>
      <c r="AD7" s="3">
        <v>9267</v>
      </c>
      <c r="AE7" s="3">
        <v>11591</v>
      </c>
      <c r="AF7" s="3">
        <v>12158</v>
      </c>
      <c r="AG7" s="3">
        <v>12576</v>
      </c>
      <c r="AH7" s="3">
        <f>+AG7*1.03</f>
        <v>12953.28</v>
      </c>
      <c r="AI7" s="3">
        <f t="shared" ref="AI7:AM7" si="9">+AH7*1.03</f>
        <v>13341.878400000001</v>
      </c>
      <c r="AJ7" s="3">
        <f t="shared" si="9"/>
        <v>13742.134752000002</v>
      </c>
      <c r="AK7" s="3">
        <f t="shared" si="9"/>
        <v>14154.398794560002</v>
      </c>
      <c r="AL7" s="3">
        <f t="shared" si="9"/>
        <v>14579.030758396802</v>
      </c>
      <c r="AM7" s="3">
        <f t="shared" si="9"/>
        <v>15016.401681148707</v>
      </c>
      <c r="AO7" s="2" t="s">
        <v>103</v>
      </c>
      <c r="AP7" s="3">
        <f>+AP5+AP6</f>
        <v>3451812.2627674816</v>
      </c>
    </row>
    <row r="8" spans="1:44" x14ac:dyDescent="0.2">
      <c r="A8" s="2" t="s">
        <v>58</v>
      </c>
      <c r="B8" s="3"/>
      <c r="C8" s="3"/>
      <c r="D8" s="3"/>
      <c r="E8" s="3"/>
      <c r="F8" s="3"/>
      <c r="G8" s="3"/>
      <c r="H8" s="3"/>
      <c r="I8" s="3"/>
      <c r="J8" s="3"/>
      <c r="K8" s="3"/>
      <c r="L8" s="3">
        <v>1791</v>
      </c>
      <c r="M8" s="3">
        <v>1823</v>
      </c>
      <c r="N8" s="3">
        <v>1891</v>
      </c>
      <c r="O8" s="3">
        <f t="shared" si="2"/>
        <v>1902</v>
      </c>
      <c r="P8" s="3">
        <v>1876</v>
      </c>
      <c r="Q8" s="3">
        <v>1862</v>
      </c>
      <c r="R8" s="3">
        <v>2007</v>
      </c>
      <c r="S8" s="3">
        <f t="shared" si="3"/>
        <v>2155</v>
      </c>
      <c r="T8" s="3">
        <v>1944</v>
      </c>
      <c r="U8" s="3">
        <v>1917</v>
      </c>
      <c r="V8" s="3">
        <v>1861</v>
      </c>
      <c r="W8" s="3">
        <f t="shared" si="4"/>
        <v>1872</v>
      </c>
      <c r="X8" s="3">
        <v>1928</v>
      </c>
      <c r="Y8" s="3">
        <v>1892</v>
      </c>
      <c r="AA8" s="3">
        <v>5846</v>
      </c>
      <c r="AB8" s="3">
        <v>6124</v>
      </c>
      <c r="AC8" s="3">
        <v>6409</v>
      </c>
      <c r="AD8" s="3">
        <v>6943</v>
      </c>
      <c r="AE8" s="3">
        <v>7407</v>
      </c>
      <c r="AF8" s="3">
        <v>7900</v>
      </c>
      <c r="AG8" s="3">
        <v>7594</v>
      </c>
      <c r="AH8" s="3">
        <f>+AG8*1.03</f>
        <v>7821.8200000000006</v>
      </c>
      <c r="AI8" s="3">
        <f t="shared" ref="AI8:AM8" si="10">+AH8*1.03</f>
        <v>8056.4746000000005</v>
      </c>
      <c r="AJ8" s="3">
        <f t="shared" si="10"/>
        <v>8298.1688380000014</v>
      </c>
      <c r="AK8" s="3">
        <f t="shared" si="10"/>
        <v>8547.1139031400016</v>
      </c>
      <c r="AL8" s="3">
        <f t="shared" si="10"/>
        <v>8803.5273202342014</v>
      </c>
      <c r="AM8" s="3">
        <f t="shared" si="10"/>
        <v>9067.6331398412276</v>
      </c>
      <c r="AO8" s="2" t="s">
        <v>104</v>
      </c>
      <c r="AP8" s="5">
        <f>+AP7/main!B3</f>
        <v>464.43356320915683</v>
      </c>
      <c r="AR8" s="13"/>
    </row>
    <row r="9" spans="1:44" x14ac:dyDescent="0.2">
      <c r="A9" s="2" t="s">
        <v>59</v>
      </c>
      <c r="B9" s="3"/>
      <c r="C9" s="3"/>
      <c r="D9" s="3"/>
      <c r="E9" s="3"/>
      <c r="F9" s="3"/>
      <c r="G9" s="3"/>
      <c r="H9" s="3"/>
      <c r="I9" s="3"/>
      <c r="J9" s="3"/>
      <c r="K9" s="3"/>
      <c r="L9" s="3">
        <v>1414</v>
      </c>
      <c r="M9" s="3">
        <v>2357</v>
      </c>
      <c r="N9" s="3">
        <v>1835</v>
      </c>
      <c r="O9" s="3">
        <f t="shared" si="2"/>
        <v>1385</v>
      </c>
      <c r="P9" s="3">
        <v>1448</v>
      </c>
      <c r="Q9" s="3">
        <v>1430</v>
      </c>
      <c r="R9" s="3">
        <v>1282</v>
      </c>
      <c r="S9" s="3">
        <f t="shared" si="3"/>
        <v>1361</v>
      </c>
      <c r="T9" s="3">
        <v>1125</v>
      </c>
      <c r="U9" s="3">
        <v>1298</v>
      </c>
      <c r="V9" s="3">
        <v>1067</v>
      </c>
      <c r="W9" s="3">
        <f t="shared" si="4"/>
        <v>1216</v>
      </c>
      <c r="X9" s="3"/>
      <c r="Y9" s="3"/>
      <c r="AA9" s="3">
        <v>5134</v>
      </c>
      <c r="AB9" s="3">
        <v>6095</v>
      </c>
      <c r="AC9" s="3">
        <v>6457</v>
      </c>
      <c r="AD9" s="3">
        <v>6791</v>
      </c>
      <c r="AE9" s="3">
        <v>6991</v>
      </c>
      <c r="AF9" s="3">
        <v>5521</v>
      </c>
      <c r="AG9" s="3">
        <v>4706</v>
      </c>
      <c r="AH9" s="3">
        <f>+AG9*1.04</f>
        <v>4894.24</v>
      </c>
      <c r="AI9" s="3">
        <f t="shared" ref="AI9:AM9" si="11">+AH9*1.04</f>
        <v>5090.0096000000003</v>
      </c>
      <c r="AJ9" s="3">
        <f t="shared" si="11"/>
        <v>5293.6099840000006</v>
      </c>
      <c r="AK9" s="3">
        <f t="shared" si="11"/>
        <v>5505.3543833600006</v>
      </c>
      <c r="AL9" s="3">
        <f t="shared" si="11"/>
        <v>5725.568558694401</v>
      </c>
      <c r="AM9" s="3">
        <f t="shared" si="11"/>
        <v>5954.5913010421773</v>
      </c>
    </row>
    <row r="10" spans="1:44" x14ac:dyDescent="0.2">
      <c r="A10" s="2" t="s">
        <v>61</v>
      </c>
      <c r="B10" s="3"/>
      <c r="C10" s="3"/>
      <c r="D10" s="3"/>
      <c r="E10" s="3"/>
      <c r="F10" s="3"/>
      <c r="G10" s="3"/>
      <c r="H10" s="3"/>
      <c r="I10" s="3"/>
      <c r="J10" s="3"/>
      <c r="K10" s="3"/>
      <c r="L10" s="3"/>
      <c r="M10" s="3"/>
      <c r="N10" s="3"/>
      <c r="O10" s="3"/>
      <c r="P10" s="3"/>
      <c r="Q10" s="3"/>
      <c r="R10" s="3"/>
      <c r="S10" s="3">
        <f t="shared" si="3"/>
        <v>5437</v>
      </c>
      <c r="T10" s="3">
        <v>1540</v>
      </c>
      <c r="U10" s="3">
        <v>1576</v>
      </c>
      <c r="V10" s="3">
        <v>1646</v>
      </c>
      <c r="W10" s="3">
        <f t="shared" si="4"/>
        <v>1719</v>
      </c>
      <c r="X10" s="3">
        <v>1849</v>
      </c>
      <c r="Y10" s="3">
        <v>1913</v>
      </c>
      <c r="AA10" s="3"/>
      <c r="AB10" s="3"/>
      <c r="AC10" s="3"/>
      <c r="AD10" s="3"/>
      <c r="AE10" s="3"/>
      <c r="AF10" s="3">
        <v>5437</v>
      </c>
      <c r="AG10" s="3">
        <v>6481</v>
      </c>
      <c r="AH10" s="3">
        <f>+AG10*1.07</f>
        <v>6934.67</v>
      </c>
      <c r="AI10" s="3">
        <f t="shared" ref="AI10:AM10" si="12">+AH10*1.07</f>
        <v>7420.0969000000005</v>
      </c>
      <c r="AJ10" s="3">
        <f t="shared" si="12"/>
        <v>7939.5036830000008</v>
      </c>
      <c r="AK10" s="3">
        <f t="shared" si="12"/>
        <v>8495.2689408100014</v>
      </c>
      <c r="AL10" s="3">
        <f t="shared" si="12"/>
        <v>9089.9377666667024</v>
      </c>
      <c r="AM10" s="3">
        <f t="shared" si="12"/>
        <v>9726.2334103333724</v>
      </c>
      <c r="AP10" s="14"/>
    </row>
    <row r="11" spans="1:44" x14ac:dyDescent="0.2">
      <c r="A11" s="2" t="s">
        <v>60</v>
      </c>
      <c r="B11" s="3"/>
      <c r="C11" s="3"/>
      <c r="D11" s="3"/>
      <c r="E11" s="3"/>
      <c r="F11" s="3"/>
      <c r="G11" s="3"/>
      <c r="H11" s="3"/>
      <c r="I11" s="3"/>
      <c r="J11" s="3"/>
      <c r="K11" s="3"/>
      <c r="L11" s="3">
        <v>1175</v>
      </c>
      <c r="M11" s="3">
        <v>1284</v>
      </c>
      <c r="N11" s="3">
        <v>1233</v>
      </c>
      <c r="O11" s="3">
        <f>+AE11-SUM(L11:N11)</f>
        <v>1599</v>
      </c>
      <c r="P11" s="3">
        <v>1348</v>
      </c>
      <c r="Q11" s="3">
        <v>1359</v>
      </c>
      <c r="R11" s="3">
        <v>1428</v>
      </c>
      <c r="S11" s="3"/>
      <c r="T11" s="3">
        <v>8</v>
      </c>
      <c r="U11" s="3">
        <v>11</v>
      </c>
      <c r="V11" s="3">
        <v>14</v>
      </c>
      <c r="W11" s="3">
        <f t="shared" si="4"/>
        <v>12</v>
      </c>
      <c r="X11" s="3">
        <v>10</v>
      </c>
      <c r="Y11" s="3">
        <v>10</v>
      </c>
      <c r="AA11" s="3">
        <v>2793</v>
      </c>
      <c r="AB11" s="3">
        <v>3070</v>
      </c>
      <c r="AC11" s="3">
        <v>3768</v>
      </c>
      <c r="AD11" s="3">
        <v>4479</v>
      </c>
      <c r="AE11" s="3">
        <v>5291</v>
      </c>
      <c r="AF11" s="3">
        <v>119</v>
      </c>
      <c r="AG11" s="3">
        <v>45</v>
      </c>
      <c r="AH11" s="3">
        <f>+AG11*1.05</f>
        <v>47.25</v>
      </c>
      <c r="AI11" s="3">
        <f t="shared" ref="AI11:AM11" si="13">+AH11*1.05</f>
        <v>49.612500000000004</v>
      </c>
      <c r="AJ11" s="3">
        <f t="shared" si="13"/>
        <v>52.093125000000008</v>
      </c>
      <c r="AK11" s="3">
        <f t="shared" si="13"/>
        <v>54.697781250000013</v>
      </c>
      <c r="AL11" s="3">
        <f t="shared" si="13"/>
        <v>57.432670312500015</v>
      </c>
      <c r="AM11" s="3">
        <f t="shared" si="13"/>
        <v>60.304303828125022</v>
      </c>
    </row>
    <row r="12" spans="1:44" x14ac:dyDescent="0.2">
      <c r="B12" s="3"/>
      <c r="C12" s="3"/>
      <c r="D12" s="3"/>
      <c r="E12" s="3"/>
      <c r="F12" s="3"/>
      <c r="G12" s="3"/>
      <c r="H12" s="3"/>
      <c r="I12" s="3"/>
      <c r="J12" s="3"/>
      <c r="K12" s="3"/>
      <c r="L12" s="3"/>
      <c r="M12" s="3"/>
      <c r="N12" s="3"/>
      <c r="O12" s="3"/>
      <c r="P12" s="3"/>
      <c r="Q12" s="3"/>
      <c r="R12" s="3"/>
      <c r="S12" s="3"/>
      <c r="T12" s="3"/>
      <c r="U12" s="3"/>
      <c r="V12" s="3"/>
      <c r="W12" s="3"/>
      <c r="X12" s="3"/>
      <c r="Y12" s="3"/>
      <c r="AD12" s="3"/>
      <c r="AE12" s="3"/>
      <c r="AF12" s="3"/>
      <c r="AG12" s="3"/>
      <c r="AH12" s="3"/>
      <c r="AI12" s="3"/>
      <c r="AJ12" s="3"/>
    </row>
    <row r="13" spans="1:44" x14ac:dyDescent="0.2">
      <c r="A13" s="2" t="s">
        <v>28</v>
      </c>
      <c r="B13" s="3"/>
      <c r="C13" s="3"/>
      <c r="D13" s="3"/>
      <c r="E13" s="3"/>
      <c r="F13" s="3"/>
      <c r="G13" s="3"/>
      <c r="H13" s="3"/>
      <c r="I13" s="3"/>
      <c r="J13" s="3"/>
      <c r="K13" s="3">
        <v>18938</v>
      </c>
      <c r="L13" s="3"/>
      <c r="M13" s="3"/>
      <c r="N13" s="3"/>
      <c r="O13" s="3">
        <v>17956</v>
      </c>
      <c r="P13" s="3">
        <v>15741</v>
      </c>
      <c r="Q13" s="3">
        <v>18941</v>
      </c>
      <c r="R13" s="3">
        <v>15588</v>
      </c>
      <c r="S13" s="3">
        <v>16853</v>
      </c>
      <c r="T13" s="3">
        <v>15535</v>
      </c>
      <c r="U13" s="3">
        <v>18941</v>
      </c>
      <c r="V13" s="3">
        <v>17080</v>
      </c>
      <c r="W13" s="3">
        <v>13217</v>
      </c>
      <c r="X13" s="3">
        <v>15272</v>
      </c>
      <c r="Y13" s="3">
        <v>16219</v>
      </c>
      <c r="AA13" s="3">
        <v>64497</v>
      </c>
      <c r="AB13" s="3">
        <v>66069</v>
      </c>
      <c r="AC13" s="3">
        <v>68041</v>
      </c>
      <c r="AD13" s="3">
        <v>71074</v>
      </c>
      <c r="AE13" s="3">
        <v>72732</v>
      </c>
      <c r="AF13" s="3">
        <v>64699</v>
      </c>
      <c r="AG13" s="3">
        <v>64773</v>
      </c>
      <c r="AH13" s="3"/>
      <c r="AI13" s="3"/>
      <c r="AJ13" s="3"/>
    </row>
    <row r="14" spans="1:44" x14ac:dyDescent="0.2">
      <c r="A14" s="2" t="s">
        <v>29</v>
      </c>
      <c r="B14" s="3"/>
      <c r="C14" s="3"/>
      <c r="D14" s="3"/>
      <c r="E14" s="3"/>
      <c r="F14" s="3"/>
      <c r="G14" s="3"/>
      <c r="H14" s="3"/>
      <c r="I14" s="3"/>
      <c r="J14" s="3"/>
      <c r="K14" s="3">
        <v>27214</v>
      </c>
      <c r="L14" s="3"/>
      <c r="M14" s="3"/>
      <c r="N14" s="3"/>
      <c r="O14" s="3">
        <v>33909</v>
      </c>
      <c r="P14" s="3">
        <v>34381</v>
      </c>
      <c r="Q14" s="3">
        <v>43079</v>
      </c>
      <c r="R14" s="3">
        <v>37269</v>
      </c>
      <c r="S14" s="3">
        <v>39336</v>
      </c>
      <c r="T14" s="3">
        <v>40982</v>
      </c>
      <c r="U14" s="3">
        <v>43079</v>
      </c>
      <c r="V14" s="3">
        <v>44778</v>
      </c>
      <c r="W14" s="3">
        <v>51510</v>
      </c>
      <c r="X14" s="3">
        <v>50313</v>
      </c>
      <c r="Y14" s="3">
        <v>53413</v>
      </c>
      <c r="AA14" s="3">
        <v>45863</v>
      </c>
      <c r="AB14" s="3">
        <v>59774</v>
      </c>
      <c r="AC14" s="3">
        <v>74974</v>
      </c>
      <c r="AD14" s="3">
        <v>97014</v>
      </c>
      <c r="AE14" s="3">
        <v>125538</v>
      </c>
      <c r="AF14" s="3">
        <v>147216</v>
      </c>
      <c r="AG14" s="3">
        <v>180349</v>
      </c>
      <c r="AH14" s="3"/>
      <c r="AI14" s="3"/>
      <c r="AJ14" s="3"/>
    </row>
    <row r="15" spans="1:44" x14ac:dyDescent="0.2">
      <c r="B15" s="3"/>
      <c r="C15" s="3"/>
      <c r="D15" s="3"/>
      <c r="E15" s="3"/>
      <c r="F15" s="3"/>
      <c r="G15" s="3"/>
      <c r="H15" s="3"/>
      <c r="I15" s="3"/>
      <c r="J15" s="3"/>
      <c r="K15" s="3"/>
      <c r="L15" s="3"/>
      <c r="M15" s="3"/>
      <c r="N15" s="3"/>
      <c r="O15" s="3"/>
      <c r="P15" s="3"/>
      <c r="Q15" s="3"/>
      <c r="R15" s="3"/>
      <c r="S15" s="3"/>
      <c r="T15" s="3"/>
      <c r="U15" s="3"/>
      <c r="V15" s="3"/>
      <c r="W15" s="3"/>
      <c r="X15" s="3"/>
      <c r="Y15" s="3"/>
      <c r="AD15" s="3"/>
      <c r="AE15" s="3"/>
      <c r="AF15" s="3"/>
      <c r="AG15" s="3"/>
      <c r="AH15" s="3"/>
      <c r="AI15" s="3"/>
      <c r="AJ15" s="3"/>
    </row>
    <row r="16" spans="1:44" x14ac:dyDescent="0.2">
      <c r="A16" s="1" t="s">
        <v>30</v>
      </c>
      <c r="B16" s="4">
        <f t="shared" ref="B16:K16" si="14">+SUM(B2:B11)</f>
        <v>0</v>
      </c>
      <c r="C16" s="4">
        <f t="shared" si="14"/>
        <v>0</v>
      </c>
      <c r="D16" s="4">
        <f t="shared" si="14"/>
        <v>0</v>
      </c>
      <c r="E16" s="4">
        <f t="shared" si="14"/>
        <v>0</v>
      </c>
      <c r="F16" s="4">
        <f t="shared" si="14"/>
        <v>0</v>
      </c>
      <c r="G16" s="4">
        <f t="shared" si="14"/>
        <v>0</v>
      </c>
      <c r="H16" s="4">
        <f t="shared" si="14"/>
        <v>0</v>
      </c>
      <c r="I16" s="4">
        <f t="shared" si="14"/>
        <v>0</v>
      </c>
      <c r="J16" s="4">
        <f t="shared" si="14"/>
        <v>0</v>
      </c>
      <c r="K16" s="4">
        <f t="shared" si="14"/>
        <v>0</v>
      </c>
      <c r="L16" s="4">
        <f>+SUM(L2:L11)</f>
        <v>45317</v>
      </c>
      <c r="M16" s="4">
        <f t="shared" ref="M16:X16" si="15">+SUM(M2:M11)</f>
        <v>51728</v>
      </c>
      <c r="N16" s="4">
        <f t="shared" si="15"/>
        <v>49360</v>
      </c>
      <c r="O16" s="4">
        <f t="shared" si="15"/>
        <v>51865</v>
      </c>
      <c r="P16" s="4">
        <f t="shared" si="15"/>
        <v>50122</v>
      </c>
      <c r="Q16" s="4">
        <f t="shared" si="15"/>
        <v>52747</v>
      </c>
      <c r="R16" s="4">
        <f t="shared" si="15"/>
        <v>52857</v>
      </c>
      <c r="S16" s="4">
        <f t="shared" si="15"/>
        <v>60205</v>
      </c>
      <c r="T16" s="4">
        <f t="shared" si="15"/>
        <v>56517</v>
      </c>
      <c r="U16" s="4">
        <f t="shared" si="15"/>
        <v>62020</v>
      </c>
      <c r="V16" s="4">
        <f t="shared" si="15"/>
        <v>61858</v>
      </c>
      <c r="W16" s="4">
        <f t="shared" si="15"/>
        <v>64727</v>
      </c>
      <c r="X16" s="4">
        <f t="shared" si="15"/>
        <v>65585</v>
      </c>
      <c r="Y16" s="4">
        <f>+Y13+Y14</f>
        <v>69632</v>
      </c>
      <c r="AA16" s="4">
        <f>+SUM(AA2:AA11)</f>
        <v>110360</v>
      </c>
      <c r="AB16" s="4">
        <f t="shared" ref="AB16" si="16">+SUM(AB2:AB11)</f>
        <v>125843</v>
      </c>
      <c r="AC16" s="4">
        <f>+SUM(AC2:AC11)</f>
        <v>143015</v>
      </c>
      <c r="AD16" s="4">
        <f t="shared" ref="AD16:AF16" si="17">+SUM(AD2:AD11)</f>
        <v>168088</v>
      </c>
      <c r="AE16" s="4">
        <f t="shared" si="17"/>
        <v>198270</v>
      </c>
      <c r="AF16" s="4">
        <f t="shared" si="17"/>
        <v>211915</v>
      </c>
      <c r="AG16" s="4">
        <f t="shared" ref="AG16:AM16" si="18">+SUM(AG2:AG11)</f>
        <v>245122</v>
      </c>
      <c r="AH16" s="4">
        <f t="shared" si="18"/>
        <v>282205.51</v>
      </c>
      <c r="AI16" s="4">
        <f t="shared" si="18"/>
        <v>318855.6862</v>
      </c>
      <c r="AJ16" s="4">
        <f t="shared" si="18"/>
        <v>361358.82564999996</v>
      </c>
      <c r="AK16" s="4">
        <f t="shared" si="18"/>
        <v>410760.69426448003</v>
      </c>
      <c r="AL16" s="4">
        <f t="shared" si="18"/>
        <v>468304.9278584086</v>
      </c>
      <c r="AM16" s="4">
        <f t="shared" si="18"/>
        <v>535471.54833221133</v>
      </c>
    </row>
    <row r="17" spans="1:130" x14ac:dyDescent="0.2">
      <c r="A17" s="2" t="s">
        <v>31</v>
      </c>
      <c r="B17" s="3"/>
      <c r="C17" s="3"/>
      <c r="D17" s="3"/>
      <c r="E17" s="3"/>
      <c r="F17" s="3"/>
      <c r="G17" s="3"/>
      <c r="H17" s="3">
        <v>3792</v>
      </c>
      <c r="I17" s="3">
        <v>6331</v>
      </c>
      <c r="J17" s="3">
        <v>4584</v>
      </c>
      <c r="K17" s="3">
        <v>4287</v>
      </c>
      <c r="L17" s="3">
        <v>4302</v>
      </c>
      <c r="M17" s="3">
        <v>5690</v>
      </c>
      <c r="N17" s="3">
        <v>3941</v>
      </c>
      <c r="O17" s="3">
        <v>4357</v>
      </c>
      <c r="P17" s="3">
        <v>4302</v>
      </c>
      <c r="Q17" s="3"/>
      <c r="R17" s="3">
        <v>3941</v>
      </c>
      <c r="S17" s="3">
        <v>3871</v>
      </c>
      <c r="T17" s="3">
        <v>3531</v>
      </c>
      <c r="U17" s="3">
        <v>5964</v>
      </c>
      <c r="V17" s="3">
        <v>4339</v>
      </c>
      <c r="W17" s="3">
        <v>1438</v>
      </c>
      <c r="X17" s="3">
        <v>3294</v>
      </c>
      <c r="Y17" s="3">
        <v>3856</v>
      </c>
      <c r="AA17" s="2">
        <v>15420</v>
      </c>
      <c r="AB17" s="2">
        <v>16273</v>
      </c>
      <c r="AC17" s="2">
        <v>16017</v>
      </c>
      <c r="AD17" s="3">
        <v>18219</v>
      </c>
      <c r="AE17" s="3">
        <v>19064</v>
      </c>
      <c r="AF17" s="3">
        <v>17804</v>
      </c>
      <c r="AG17" s="3">
        <v>15272</v>
      </c>
      <c r="AH17" s="3">
        <f>+AG17*1.03</f>
        <v>15730.16</v>
      </c>
      <c r="AI17" s="3">
        <f t="shared" ref="AI17:AM17" si="19">+AH17*1.03</f>
        <v>16202.0648</v>
      </c>
      <c r="AJ17" s="3">
        <f t="shared" si="19"/>
        <v>16688.126744000001</v>
      </c>
      <c r="AK17" s="3">
        <f t="shared" si="19"/>
        <v>17188.77054632</v>
      </c>
      <c r="AL17" s="3">
        <f t="shared" si="19"/>
        <v>17704.433662709602</v>
      </c>
      <c r="AM17" s="3">
        <f t="shared" si="19"/>
        <v>18235.566672590889</v>
      </c>
      <c r="AV17" s="7"/>
    </row>
    <row r="18" spans="1:130" x14ac:dyDescent="0.2">
      <c r="A18" s="2" t="s">
        <v>32</v>
      </c>
      <c r="B18" s="3"/>
      <c r="C18" s="3"/>
      <c r="D18" s="3"/>
      <c r="E18" s="3"/>
      <c r="F18" s="3"/>
      <c r="G18" s="3"/>
      <c r="H18" s="3">
        <v>9854</v>
      </c>
      <c r="I18" s="3">
        <v>10629</v>
      </c>
      <c r="J18" s="3">
        <v>11031</v>
      </c>
      <c r="K18" s="3">
        <v>9704</v>
      </c>
      <c r="L18" s="3">
        <v>11150</v>
      </c>
      <c r="M18" s="3">
        <v>11798</v>
      </c>
      <c r="N18" s="3">
        <v>12187</v>
      </c>
      <c r="O18" s="3">
        <v>12072</v>
      </c>
      <c r="P18" s="3">
        <v>11150</v>
      </c>
      <c r="Q18" s="3"/>
      <c r="R18" s="3">
        <v>12187</v>
      </c>
      <c r="S18" s="3">
        <v>12924</v>
      </c>
      <c r="T18" s="3">
        <v>12771</v>
      </c>
      <c r="U18" s="3">
        <v>13659</v>
      </c>
      <c r="V18" s="3">
        <v>14166</v>
      </c>
      <c r="W18" s="3">
        <v>18246</v>
      </c>
      <c r="X18" s="3">
        <v>16805</v>
      </c>
      <c r="Y18" s="3">
        <v>17943</v>
      </c>
      <c r="AA18" s="2">
        <v>22933</v>
      </c>
      <c r="AB18" s="2">
        <v>26637</v>
      </c>
      <c r="AC18" s="2">
        <v>30061</v>
      </c>
      <c r="AD18" s="3">
        <v>34013</v>
      </c>
      <c r="AE18" s="3">
        <v>43586</v>
      </c>
      <c r="AF18" s="3">
        <v>48059</v>
      </c>
      <c r="AG18" s="3">
        <v>58842</v>
      </c>
      <c r="AH18" s="3">
        <f>+AH16*0.24</f>
        <v>67729.322400000005</v>
      </c>
      <c r="AI18" s="3">
        <f>+AI16*0.24</f>
        <v>76525.364688000001</v>
      </c>
      <c r="AJ18" s="3">
        <f t="shared" ref="AJ18:AM18" si="20">+AJ16*0.24</f>
        <v>86726.118155999982</v>
      </c>
      <c r="AK18" s="3">
        <f t="shared" si="20"/>
        <v>98582.566623475199</v>
      </c>
      <c r="AL18" s="3">
        <f t="shared" si="20"/>
        <v>112393.18268601806</v>
      </c>
      <c r="AM18" s="3">
        <f t="shared" si="20"/>
        <v>128513.17159973072</v>
      </c>
    </row>
    <row r="19" spans="1:130" x14ac:dyDescent="0.2">
      <c r="A19" s="1" t="s">
        <v>33</v>
      </c>
      <c r="B19" s="4">
        <f t="shared" ref="B19:Y19" si="21">+B16-B17-B18</f>
        <v>0</v>
      </c>
      <c r="C19" s="4">
        <f t="shared" si="21"/>
        <v>0</v>
      </c>
      <c r="D19" s="4">
        <f t="shared" si="21"/>
        <v>0</v>
      </c>
      <c r="E19" s="4">
        <f t="shared" si="21"/>
        <v>0</v>
      </c>
      <c r="F19" s="4">
        <f t="shared" si="21"/>
        <v>0</v>
      </c>
      <c r="G19" s="4">
        <f t="shared" si="21"/>
        <v>0</v>
      </c>
      <c r="H19" s="4">
        <f t="shared" si="21"/>
        <v>-13646</v>
      </c>
      <c r="I19" s="4">
        <f t="shared" si="21"/>
        <v>-16960</v>
      </c>
      <c r="J19" s="4">
        <f t="shared" si="21"/>
        <v>-15615</v>
      </c>
      <c r="K19" s="4">
        <f t="shared" si="21"/>
        <v>-13991</v>
      </c>
      <c r="L19" s="4">
        <f t="shared" si="21"/>
        <v>29865</v>
      </c>
      <c r="M19" s="4">
        <f t="shared" si="21"/>
        <v>34240</v>
      </c>
      <c r="N19" s="4">
        <f t="shared" si="21"/>
        <v>33232</v>
      </c>
      <c r="O19" s="4">
        <f t="shared" si="21"/>
        <v>35436</v>
      </c>
      <c r="P19" s="4">
        <f t="shared" si="21"/>
        <v>34670</v>
      </c>
      <c r="Q19" s="4">
        <f t="shared" si="21"/>
        <v>52747</v>
      </c>
      <c r="R19" s="4">
        <f t="shared" si="21"/>
        <v>36729</v>
      </c>
      <c r="S19" s="4">
        <f t="shared" si="21"/>
        <v>43410</v>
      </c>
      <c r="T19" s="4">
        <f t="shared" si="21"/>
        <v>40215</v>
      </c>
      <c r="U19" s="4">
        <f t="shared" si="21"/>
        <v>42397</v>
      </c>
      <c r="V19" s="4">
        <f t="shared" si="21"/>
        <v>43353</v>
      </c>
      <c r="W19" s="4">
        <f t="shared" si="21"/>
        <v>45043</v>
      </c>
      <c r="X19" s="4">
        <f t="shared" si="21"/>
        <v>45486</v>
      </c>
      <c r="Y19" s="4">
        <f t="shared" si="21"/>
        <v>47833</v>
      </c>
      <c r="AA19" s="4">
        <f t="shared" ref="AA19:AM19" si="22">+AA16-AA17-AA18</f>
        <v>72007</v>
      </c>
      <c r="AB19" s="4">
        <f t="shared" si="22"/>
        <v>82933</v>
      </c>
      <c r="AC19" s="4">
        <f t="shared" si="22"/>
        <v>96937</v>
      </c>
      <c r="AD19" s="4">
        <f t="shared" si="22"/>
        <v>115856</v>
      </c>
      <c r="AE19" s="4">
        <f t="shared" si="22"/>
        <v>135620</v>
      </c>
      <c r="AF19" s="4">
        <f t="shared" si="22"/>
        <v>146052</v>
      </c>
      <c r="AG19" s="4">
        <f t="shared" si="22"/>
        <v>171008</v>
      </c>
      <c r="AH19" s="4">
        <f t="shared" si="22"/>
        <v>198746.02760000003</v>
      </c>
      <c r="AI19" s="4">
        <f t="shared" si="22"/>
        <v>226128.256712</v>
      </c>
      <c r="AJ19" s="4">
        <f t="shared" si="22"/>
        <v>257944.58074999996</v>
      </c>
      <c r="AK19" s="4">
        <f t="shared" si="22"/>
        <v>294989.35709468485</v>
      </c>
      <c r="AL19" s="4">
        <f t="shared" si="22"/>
        <v>338207.31150968093</v>
      </c>
      <c r="AM19" s="4">
        <f t="shared" si="22"/>
        <v>388722.81005988969</v>
      </c>
    </row>
    <row r="20" spans="1:130" x14ac:dyDescent="0.2">
      <c r="A20" s="2" t="s">
        <v>34</v>
      </c>
      <c r="B20" s="3"/>
      <c r="C20" s="3"/>
      <c r="D20" s="3"/>
      <c r="E20" s="3"/>
      <c r="F20" s="3"/>
      <c r="G20" s="3"/>
      <c r="H20" s="3">
        <v>5599</v>
      </c>
      <c r="I20" s="3">
        <v>5758</v>
      </c>
      <c r="J20" s="3">
        <v>6306</v>
      </c>
      <c r="K20" s="3">
        <v>5687</v>
      </c>
      <c r="L20" s="3">
        <v>6628</v>
      </c>
      <c r="M20" s="3">
        <v>6844</v>
      </c>
      <c r="N20" s="3">
        <v>6984</v>
      </c>
      <c r="O20" s="3">
        <v>6849</v>
      </c>
      <c r="P20" s="3">
        <v>6628</v>
      </c>
      <c r="Q20" s="3">
        <v>6844</v>
      </c>
      <c r="R20" s="3">
        <v>6984</v>
      </c>
      <c r="S20" s="3">
        <v>6739</v>
      </c>
      <c r="T20" s="3">
        <v>6659</v>
      </c>
      <c r="U20" s="3">
        <v>7142</v>
      </c>
      <c r="V20" s="3">
        <v>7653</v>
      </c>
      <c r="W20" s="3">
        <v>8056</v>
      </c>
      <c r="X20" s="3">
        <v>7544</v>
      </c>
      <c r="Y20" s="3">
        <v>7917</v>
      </c>
      <c r="AA20" s="3">
        <v>14726</v>
      </c>
      <c r="AB20" s="3">
        <v>16876</v>
      </c>
      <c r="AC20" s="3">
        <v>19269</v>
      </c>
      <c r="AD20" s="3">
        <v>20716</v>
      </c>
      <c r="AE20" s="3">
        <v>24512</v>
      </c>
      <c r="AF20" s="3">
        <v>27195</v>
      </c>
      <c r="AG20" s="3">
        <v>29510</v>
      </c>
      <c r="AH20" s="3">
        <f t="shared" ref="AH20:AM20" si="23">+AH16*0.125</f>
        <v>35275.688750000001</v>
      </c>
      <c r="AI20" s="3">
        <f t="shared" si="23"/>
        <v>39856.960775</v>
      </c>
      <c r="AJ20" s="3">
        <f t="shared" si="23"/>
        <v>45169.853206249994</v>
      </c>
      <c r="AK20" s="3">
        <f t="shared" si="23"/>
        <v>51345.086783060004</v>
      </c>
      <c r="AL20" s="3">
        <f t="shared" si="23"/>
        <v>58538.115982301075</v>
      </c>
      <c r="AM20" s="3">
        <f t="shared" si="23"/>
        <v>66933.943541526416</v>
      </c>
    </row>
    <row r="21" spans="1:130" x14ac:dyDescent="0.2">
      <c r="A21" s="2" t="s">
        <v>35</v>
      </c>
      <c r="B21" s="3"/>
      <c r="C21" s="3"/>
      <c r="D21" s="3"/>
      <c r="E21" s="3"/>
      <c r="F21" s="3"/>
      <c r="G21" s="3"/>
      <c r="H21" s="3">
        <v>4547</v>
      </c>
      <c r="I21" s="3">
        <v>5379</v>
      </c>
      <c r="J21" s="3">
        <v>5595</v>
      </c>
      <c r="K21" s="3">
        <v>5857</v>
      </c>
      <c r="L21" s="3">
        <v>5126</v>
      </c>
      <c r="M21" s="3">
        <v>5679</v>
      </c>
      <c r="N21" s="3">
        <v>5750</v>
      </c>
      <c r="O21" s="3">
        <v>6304</v>
      </c>
      <c r="P21" s="3">
        <v>5126</v>
      </c>
      <c r="Q21" s="3">
        <v>5679</v>
      </c>
      <c r="R21" s="3">
        <v>5750</v>
      </c>
      <c r="S21" s="3">
        <v>6204</v>
      </c>
      <c r="T21" s="3">
        <v>5187</v>
      </c>
      <c r="U21" s="3">
        <v>6246</v>
      </c>
      <c r="V21" s="3">
        <v>6207</v>
      </c>
      <c r="W21" s="3">
        <v>6816</v>
      </c>
      <c r="X21" s="3">
        <v>5717</v>
      </c>
      <c r="Y21" s="3">
        <v>6440</v>
      </c>
      <c r="AA21" s="3">
        <v>17469</v>
      </c>
      <c r="AB21" s="3">
        <v>18213</v>
      </c>
      <c r="AC21" s="3">
        <v>19598</v>
      </c>
      <c r="AD21" s="3">
        <v>20117</v>
      </c>
      <c r="AE21" s="3">
        <v>21825</v>
      </c>
      <c r="AF21" s="3">
        <v>22759</v>
      </c>
      <c r="AG21" s="3">
        <v>24456</v>
      </c>
      <c r="AH21" s="3">
        <f>+AG21*1.06</f>
        <v>25923.360000000001</v>
      </c>
      <c r="AI21" s="3">
        <f t="shared" ref="AI21:AM21" si="24">+AH21*1.06</f>
        <v>27478.761600000002</v>
      </c>
      <c r="AJ21" s="3">
        <f t="shared" si="24"/>
        <v>29127.487296000003</v>
      </c>
      <c r="AK21" s="3">
        <f t="shared" si="24"/>
        <v>30875.136533760004</v>
      </c>
      <c r="AL21" s="3">
        <f t="shared" si="24"/>
        <v>32727.644725785605</v>
      </c>
      <c r="AM21" s="3">
        <f t="shared" si="24"/>
        <v>34691.303409332744</v>
      </c>
    </row>
    <row r="22" spans="1:130" x14ac:dyDescent="0.2">
      <c r="A22" s="2" t="s">
        <v>36</v>
      </c>
      <c r="B22" s="3"/>
      <c r="C22" s="3"/>
      <c r="D22" s="3"/>
      <c r="E22" s="3"/>
      <c r="F22" s="3"/>
      <c r="G22" s="3"/>
      <c r="H22" s="3">
        <v>1287</v>
      </c>
      <c r="I22" s="3">
        <v>1384</v>
      </c>
      <c r="J22" s="3">
        <v>1480</v>
      </c>
      <c r="K22" s="3">
        <v>1522</v>
      </c>
      <c r="L22" s="3">
        <v>1398</v>
      </c>
      <c r="M22" s="3">
        <v>2337</v>
      </c>
      <c r="N22" s="3">
        <v>1643</v>
      </c>
      <c r="O22" s="3">
        <v>1749</v>
      </c>
      <c r="P22" s="3">
        <v>1398</v>
      </c>
      <c r="Q22" s="3">
        <v>2337</v>
      </c>
      <c r="R22" s="3">
        <v>1643</v>
      </c>
      <c r="S22" s="3">
        <v>2197</v>
      </c>
      <c r="T22" s="3">
        <v>1474</v>
      </c>
      <c r="U22" s="3">
        <v>1977</v>
      </c>
      <c r="V22" s="3">
        <v>1912</v>
      </c>
      <c r="W22" s="3">
        <v>2246</v>
      </c>
      <c r="X22" s="3">
        <v>1673</v>
      </c>
      <c r="Y22" s="3">
        <v>1823</v>
      </c>
      <c r="AA22" s="3">
        <v>4754</v>
      </c>
      <c r="AB22" s="3">
        <v>4885</v>
      </c>
      <c r="AC22" s="3">
        <v>5111</v>
      </c>
      <c r="AD22" s="3">
        <v>5107</v>
      </c>
      <c r="AE22" s="3">
        <v>5900</v>
      </c>
      <c r="AF22" s="3">
        <v>7575</v>
      </c>
      <c r="AG22" s="3">
        <v>7609</v>
      </c>
      <c r="AH22" s="3">
        <f>+AG22*1.11</f>
        <v>8445.9900000000016</v>
      </c>
      <c r="AI22" s="3">
        <f>+AH22*1.05</f>
        <v>8868.2895000000026</v>
      </c>
      <c r="AJ22" s="3">
        <f t="shared" ref="AJ22:AM22" si="25">+AI22*1.05</f>
        <v>9311.703975000004</v>
      </c>
      <c r="AK22" s="3">
        <f t="shared" si="25"/>
        <v>9777.2891737500049</v>
      </c>
      <c r="AL22" s="3">
        <f t="shared" si="25"/>
        <v>10266.153632437505</v>
      </c>
      <c r="AM22" s="3">
        <f t="shared" si="25"/>
        <v>10779.461314059381</v>
      </c>
    </row>
    <row r="23" spans="1:130" x14ac:dyDescent="0.2">
      <c r="A23" s="2" t="s">
        <v>37</v>
      </c>
      <c r="B23" s="3">
        <f t="shared" ref="B23:U23" si="26">+SUM(B20:B22)</f>
        <v>0</v>
      </c>
      <c r="C23" s="3">
        <f t="shared" si="26"/>
        <v>0</v>
      </c>
      <c r="D23" s="3">
        <f t="shared" si="26"/>
        <v>0</v>
      </c>
      <c r="E23" s="3">
        <f t="shared" si="26"/>
        <v>0</v>
      </c>
      <c r="F23" s="3">
        <f t="shared" si="26"/>
        <v>0</v>
      </c>
      <c r="G23" s="3">
        <f t="shared" si="26"/>
        <v>0</v>
      </c>
      <c r="H23" s="3">
        <f t="shared" si="26"/>
        <v>11433</v>
      </c>
      <c r="I23" s="3">
        <f t="shared" si="26"/>
        <v>12521</v>
      </c>
      <c r="J23" s="3">
        <f t="shared" si="26"/>
        <v>13381</v>
      </c>
      <c r="K23" s="3">
        <f t="shared" si="26"/>
        <v>13066</v>
      </c>
      <c r="L23" s="3">
        <f t="shared" si="26"/>
        <v>13152</v>
      </c>
      <c r="M23" s="3">
        <f t="shared" si="26"/>
        <v>14860</v>
      </c>
      <c r="N23" s="3">
        <f t="shared" si="26"/>
        <v>14377</v>
      </c>
      <c r="O23" s="3">
        <f t="shared" si="26"/>
        <v>14902</v>
      </c>
      <c r="P23" s="3">
        <f t="shared" si="26"/>
        <v>13152</v>
      </c>
      <c r="Q23" s="3">
        <f t="shared" si="26"/>
        <v>14860</v>
      </c>
      <c r="R23" s="3">
        <f t="shared" si="26"/>
        <v>14377</v>
      </c>
      <c r="S23" s="3">
        <f t="shared" si="26"/>
        <v>15140</v>
      </c>
      <c r="T23" s="3">
        <f t="shared" si="26"/>
        <v>13320</v>
      </c>
      <c r="U23" s="3">
        <f t="shared" si="26"/>
        <v>15365</v>
      </c>
      <c r="V23" s="3">
        <f>+SUM(V20:V22)</f>
        <v>15772</v>
      </c>
      <c r="W23" s="3">
        <f t="shared" ref="W23:Y23" si="27">+SUM(W20:W22)</f>
        <v>17118</v>
      </c>
      <c r="X23" s="3">
        <f t="shared" si="27"/>
        <v>14934</v>
      </c>
      <c r="Y23" s="3">
        <f t="shared" si="27"/>
        <v>16180</v>
      </c>
      <c r="AA23" s="3">
        <f t="shared" ref="AA23" si="28">+SUM(AA20:AA22)</f>
        <v>36949</v>
      </c>
      <c r="AB23" s="3">
        <f t="shared" ref="AB23:AC23" si="29">+SUM(AB20:AB22)</f>
        <v>39974</v>
      </c>
      <c r="AC23" s="3">
        <f t="shared" si="29"/>
        <v>43978</v>
      </c>
      <c r="AD23" s="3">
        <f t="shared" ref="AD23:AJ23" si="30">+SUM(AD20:AD22)</f>
        <v>45940</v>
      </c>
      <c r="AE23" s="3">
        <f t="shared" si="30"/>
        <v>52237</v>
      </c>
      <c r="AF23" s="3">
        <f t="shared" si="30"/>
        <v>57529</v>
      </c>
      <c r="AG23" s="3">
        <f t="shared" si="30"/>
        <v>61575</v>
      </c>
      <c r="AH23" s="3">
        <f t="shared" si="30"/>
        <v>69645.038750000007</v>
      </c>
      <c r="AI23" s="3">
        <f t="shared" si="30"/>
        <v>76204.011874999997</v>
      </c>
      <c r="AJ23" s="3">
        <f t="shared" si="30"/>
        <v>83609.04447724999</v>
      </c>
      <c r="AK23" s="3">
        <f t="shared" ref="AK23:AM23" si="31">+SUM(AK20:AK22)</f>
        <v>91997.512490570007</v>
      </c>
      <c r="AL23" s="3">
        <f t="shared" si="31"/>
        <v>101531.91434052419</v>
      </c>
      <c r="AM23" s="3">
        <f t="shared" si="31"/>
        <v>112404.70826491855</v>
      </c>
    </row>
    <row r="24" spans="1:130" x14ac:dyDescent="0.2">
      <c r="A24" s="1" t="s">
        <v>38</v>
      </c>
      <c r="B24" s="4">
        <f t="shared" ref="B24:U24" si="32">+B19-B23</f>
        <v>0</v>
      </c>
      <c r="C24" s="4">
        <f t="shared" si="32"/>
        <v>0</v>
      </c>
      <c r="D24" s="4">
        <f t="shared" si="32"/>
        <v>0</v>
      </c>
      <c r="E24" s="4">
        <f t="shared" si="32"/>
        <v>0</v>
      </c>
      <c r="F24" s="4">
        <f t="shared" si="32"/>
        <v>0</v>
      </c>
      <c r="G24" s="4">
        <f t="shared" si="32"/>
        <v>0</v>
      </c>
      <c r="H24" s="4">
        <f t="shared" si="32"/>
        <v>-25079</v>
      </c>
      <c r="I24" s="4">
        <f t="shared" si="32"/>
        <v>-29481</v>
      </c>
      <c r="J24" s="4">
        <f t="shared" si="32"/>
        <v>-28996</v>
      </c>
      <c r="K24" s="4">
        <f t="shared" si="32"/>
        <v>-27057</v>
      </c>
      <c r="L24" s="4">
        <f t="shared" si="32"/>
        <v>16713</v>
      </c>
      <c r="M24" s="4">
        <f t="shared" si="32"/>
        <v>19380</v>
      </c>
      <c r="N24" s="4">
        <f t="shared" si="32"/>
        <v>18855</v>
      </c>
      <c r="O24" s="4">
        <f t="shared" si="32"/>
        <v>20534</v>
      </c>
      <c r="P24" s="4">
        <f t="shared" si="32"/>
        <v>21518</v>
      </c>
      <c r="Q24" s="4">
        <f t="shared" si="32"/>
        <v>37887</v>
      </c>
      <c r="R24" s="4">
        <f t="shared" si="32"/>
        <v>22352</v>
      </c>
      <c r="S24" s="4">
        <f t="shared" si="32"/>
        <v>28270</v>
      </c>
      <c r="T24" s="4">
        <f t="shared" si="32"/>
        <v>26895</v>
      </c>
      <c r="U24" s="4">
        <f t="shared" si="32"/>
        <v>27032</v>
      </c>
      <c r="V24" s="4">
        <f>+V19-V23</f>
        <v>27581</v>
      </c>
      <c r="W24" s="4">
        <f t="shared" ref="W24:Y24" si="33">+W19-W23</f>
        <v>27925</v>
      </c>
      <c r="X24" s="4">
        <f t="shared" si="33"/>
        <v>30552</v>
      </c>
      <c r="Y24" s="4">
        <f t="shared" si="33"/>
        <v>31653</v>
      </c>
      <c r="AA24" s="4">
        <f t="shared" ref="AA24" si="34">+AA19-AA23</f>
        <v>35058</v>
      </c>
      <c r="AB24" s="4">
        <f t="shared" ref="AB24:AC24" si="35">+AB19-AB23</f>
        <v>42959</v>
      </c>
      <c r="AC24" s="4">
        <f t="shared" si="35"/>
        <v>52959</v>
      </c>
      <c r="AD24" s="4">
        <f t="shared" ref="AD24:AF24" si="36">+AD19-AD23</f>
        <v>69916</v>
      </c>
      <c r="AE24" s="4">
        <f t="shared" si="36"/>
        <v>83383</v>
      </c>
      <c r="AF24" s="4">
        <f t="shared" si="36"/>
        <v>88523</v>
      </c>
      <c r="AG24" s="4">
        <f t="shared" ref="AG24:AJ24" si="37">+AG19-AG23</f>
        <v>109433</v>
      </c>
      <c r="AH24" s="4">
        <f t="shared" si="37"/>
        <v>129100.98885000002</v>
      </c>
      <c r="AI24" s="4">
        <f t="shared" si="37"/>
        <v>149924.24483700001</v>
      </c>
      <c r="AJ24" s="4">
        <f t="shared" si="37"/>
        <v>174335.53627274997</v>
      </c>
      <c r="AK24" s="4">
        <f t="shared" ref="AK24:AM24" si="38">+AK19-AK23</f>
        <v>202991.84460411483</v>
      </c>
      <c r="AL24" s="4">
        <f t="shared" si="38"/>
        <v>236675.39716915676</v>
      </c>
      <c r="AM24" s="4">
        <f t="shared" si="38"/>
        <v>276318.10179497115</v>
      </c>
    </row>
    <row r="25" spans="1:130" x14ac:dyDescent="0.2">
      <c r="A25" s="2" t="s">
        <v>39</v>
      </c>
      <c r="H25" s="3">
        <v>286</v>
      </c>
      <c r="I25" s="3">
        <v>268</v>
      </c>
      <c r="J25" s="3">
        <v>-174</v>
      </c>
      <c r="K25" s="3">
        <v>310</v>
      </c>
      <c r="L25" s="3">
        <v>54</v>
      </c>
      <c r="M25" s="3">
        <v>-60</v>
      </c>
      <c r="N25" s="3">
        <v>321</v>
      </c>
      <c r="O25" s="3">
        <v>-47</v>
      </c>
      <c r="P25" s="3">
        <v>54</v>
      </c>
      <c r="Q25" s="3">
        <v>-60</v>
      </c>
      <c r="R25" s="3">
        <v>321</v>
      </c>
      <c r="S25" s="3">
        <v>473</v>
      </c>
      <c r="T25" s="3">
        <v>389</v>
      </c>
      <c r="U25" s="3">
        <v>-506</v>
      </c>
      <c r="V25" s="3">
        <v>-854</v>
      </c>
      <c r="W25" s="3">
        <v>-675</v>
      </c>
      <c r="X25" s="2">
        <v>-283</v>
      </c>
      <c r="Y25" s="3">
        <v>-2288</v>
      </c>
      <c r="AA25" s="3">
        <v>1416</v>
      </c>
      <c r="AB25" s="3">
        <v>729</v>
      </c>
      <c r="AC25" s="3">
        <v>77</v>
      </c>
      <c r="AD25" s="3">
        <v>1186</v>
      </c>
      <c r="AE25" s="3">
        <v>333</v>
      </c>
      <c r="AF25" s="3">
        <v>788</v>
      </c>
      <c r="AG25" s="3">
        <v>-1646</v>
      </c>
      <c r="AH25" s="3">
        <f>+AG48*$AP$4</f>
        <v>1925.65</v>
      </c>
      <c r="AI25" s="3">
        <f t="shared" ref="AI25:AM25" si="39">+AH48*$AP$4</f>
        <v>7101.2022345750011</v>
      </c>
      <c r="AJ25" s="3">
        <f t="shared" si="39"/>
        <v>13303.707393902216</v>
      </c>
      <c r="AK25" s="3">
        <f t="shared" si="39"/>
        <v>20715.457518734976</v>
      </c>
      <c r="AL25" s="3">
        <f t="shared" si="39"/>
        <v>29551.89595258754</v>
      </c>
      <c r="AM25" s="3">
        <f t="shared" si="39"/>
        <v>40067.874030896441</v>
      </c>
    </row>
    <row r="26" spans="1:130" x14ac:dyDescent="0.2">
      <c r="A26" s="2" t="s">
        <v>40</v>
      </c>
      <c r="B26" s="3">
        <f t="shared" ref="B26:U26" si="40">+B24+B25</f>
        <v>0</v>
      </c>
      <c r="C26" s="3">
        <f t="shared" si="40"/>
        <v>0</v>
      </c>
      <c r="D26" s="3">
        <f t="shared" si="40"/>
        <v>0</v>
      </c>
      <c r="E26" s="3">
        <f t="shared" si="40"/>
        <v>0</v>
      </c>
      <c r="F26" s="3">
        <f t="shared" si="40"/>
        <v>0</v>
      </c>
      <c r="G26" s="3">
        <f t="shared" si="40"/>
        <v>0</v>
      </c>
      <c r="H26" s="3">
        <f t="shared" si="40"/>
        <v>-24793</v>
      </c>
      <c r="I26" s="3">
        <f t="shared" si="40"/>
        <v>-29213</v>
      </c>
      <c r="J26" s="3">
        <f t="shared" si="40"/>
        <v>-29170</v>
      </c>
      <c r="K26" s="3">
        <f t="shared" si="40"/>
        <v>-26747</v>
      </c>
      <c r="L26" s="3">
        <f t="shared" si="40"/>
        <v>16767</v>
      </c>
      <c r="M26" s="3">
        <f t="shared" si="40"/>
        <v>19320</v>
      </c>
      <c r="N26" s="3">
        <f t="shared" si="40"/>
        <v>19176</v>
      </c>
      <c r="O26" s="3">
        <f t="shared" si="40"/>
        <v>20487</v>
      </c>
      <c r="P26" s="3">
        <f t="shared" si="40"/>
        <v>21572</v>
      </c>
      <c r="Q26" s="3">
        <f t="shared" si="40"/>
        <v>37827</v>
      </c>
      <c r="R26" s="3">
        <f t="shared" si="40"/>
        <v>22673</v>
      </c>
      <c r="S26" s="3">
        <f t="shared" si="40"/>
        <v>28743</v>
      </c>
      <c r="T26" s="3">
        <f t="shared" si="40"/>
        <v>27284</v>
      </c>
      <c r="U26" s="3">
        <f t="shared" si="40"/>
        <v>26526</v>
      </c>
      <c r="V26" s="3">
        <f>+V24+V25</f>
        <v>26727</v>
      </c>
      <c r="W26" s="3">
        <f t="shared" ref="W26:Y26" si="41">+W24+W25</f>
        <v>27250</v>
      </c>
      <c r="X26" s="3">
        <f t="shared" si="41"/>
        <v>30269</v>
      </c>
      <c r="Y26" s="3">
        <f t="shared" si="41"/>
        <v>29365</v>
      </c>
      <c r="AA26" s="3">
        <f t="shared" ref="AA26" si="42">+AA24+AA25</f>
        <v>36474</v>
      </c>
      <c r="AB26" s="3">
        <f t="shared" ref="AB26:AF26" si="43">+AB24+AB25</f>
        <v>43688</v>
      </c>
      <c r="AC26" s="3">
        <f t="shared" si="43"/>
        <v>53036</v>
      </c>
      <c r="AD26" s="3">
        <f t="shared" si="43"/>
        <v>71102</v>
      </c>
      <c r="AE26" s="3">
        <f t="shared" si="43"/>
        <v>83716</v>
      </c>
      <c r="AF26" s="3">
        <f t="shared" si="43"/>
        <v>89311</v>
      </c>
      <c r="AG26" s="3">
        <f t="shared" ref="AG26:AM26" si="44">+AG24+AG25</f>
        <v>107787</v>
      </c>
      <c r="AH26" s="3">
        <f t="shared" si="44"/>
        <v>131026.63885000002</v>
      </c>
      <c r="AI26" s="3">
        <f t="shared" si="44"/>
        <v>157025.44707157501</v>
      </c>
      <c r="AJ26" s="3">
        <f t="shared" si="44"/>
        <v>187639.24366665218</v>
      </c>
      <c r="AK26" s="3">
        <f t="shared" si="44"/>
        <v>223707.3021228498</v>
      </c>
      <c r="AL26" s="3">
        <f t="shared" si="44"/>
        <v>266227.2931217443</v>
      </c>
      <c r="AM26" s="3">
        <f t="shared" si="44"/>
        <v>316385.97582586762</v>
      </c>
    </row>
    <row r="27" spans="1:130" x14ac:dyDescent="0.2">
      <c r="A27" s="2" t="s">
        <v>41</v>
      </c>
      <c r="H27" s="2">
        <v>19</v>
      </c>
      <c r="I27" s="2">
        <v>3750</v>
      </c>
      <c r="J27" s="2">
        <v>3462</v>
      </c>
      <c r="K27" s="2">
        <v>2947</v>
      </c>
      <c r="L27" s="2">
        <v>4016</v>
      </c>
      <c r="M27" s="2">
        <v>3914</v>
      </c>
      <c r="N27" s="2">
        <v>4374</v>
      </c>
      <c r="O27" s="2">
        <v>3747</v>
      </c>
      <c r="P27" s="2">
        <v>4016</v>
      </c>
      <c r="Q27" s="2">
        <v>3914</v>
      </c>
      <c r="R27" s="2">
        <v>4374</v>
      </c>
      <c r="S27" s="2">
        <v>4646</v>
      </c>
      <c r="T27" s="2">
        <v>4993</v>
      </c>
      <c r="U27" s="2">
        <v>4656</v>
      </c>
      <c r="V27" s="2">
        <v>4788</v>
      </c>
      <c r="W27" s="2">
        <v>5214</v>
      </c>
      <c r="X27" s="2">
        <v>5602</v>
      </c>
      <c r="Y27" s="3">
        <v>5257</v>
      </c>
      <c r="AA27" s="3">
        <v>19903</v>
      </c>
      <c r="AB27" s="3">
        <v>4448</v>
      </c>
      <c r="AC27" s="3">
        <v>8755</v>
      </c>
      <c r="AD27" s="3">
        <v>9831</v>
      </c>
      <c r="AE27" s="3">
        <v>10978</v>
      </c>
      <c r="AF27" s="3">
        <v>16950</v>
      </c>
      <c r="AG27" s="3">
        <v>19651</v>
      </c>
      <c r="AH27" s="3">
        <f>+AH26*0.21</f>
        <v>27515.594158500004</v>
      </c>
      <c r="AI27" s="3">
        <f>+AI26*0.21</f>
        <v>32975.34388503075</v>
      </c>
      <c r="AJ27" s="3">
        <f t="shared" ref="AJ27:AM27" si="45">+AJ26*0.21</f>
        <v>39404.24116999696</v>
      </c>
      <c r="AK27" s="3">
        <f t="shared" si="45"/>
        <v>46978.533445798457</v>
      </c>
      <c r="AL27" s="3">
        <f t="shared" si="45"/>
        <v>55907.731555566301</v>
      </c>
      <c r="AM27" s="3">
        <f t="shared" si="45"/>
        <v>66441.054923432195</v>
      </c>
    </row>
    <row r="28" spans="1:130" x14ac:dyDescent="0.2">
      <c r="A28" s="1" t="s">
        <v>42</v>
      </c>
      <c r="B28" s="4">
        <f t="shared" ref="B28:U28" si="46">+B26-B27</f>
        <v>0</v>
      </c>
      <c r="C28" s="4">
        <f t="shared" si="46"/>
        <v>0</v>
      </c>
      <c r="D28" s="4">
        <f t="shared" si="46"/>
        <v>0</v>
      </c>
      <c r="E28" s="4">
        <f t="shared" si="46"/>
        <v>0</v>
      </c>
      <c r="F28" s="4">
        <f t="shared" si="46"/>
        <v>0</v>
      </c>
      <c r="G28" s="4">
        <f t="shared" si="46"/>
        <v>0</v>
      </c>
      <c r="H28" s="4">
        <f t="shared" si="46"/>
        <v>-24812</v>
      </c>
      <c r="I28" s="4">
        <f t="shared" si="46"/>
        <v>-32963</v>
      </c>
      <c r="J28" s="4">
        <f t="shared" si="46"/>
        <v>-32632</v>
      </c>
      <c r="K28" s="4">
        <f t="shared" si="46"/>
        <v>-29694</v>
      </c>
      <c r="L28" s="4">
        <f t="shared" si="46"/>
        <v>12751</v>
      </c>
      <c r="M28" s="4">
        <f t="shared" si="46"/>
        <v>15406</v>
      </c>
      <c r="N28" s="4">
        <f t="shared" si="46"/>
        <v>14802</v>
      </c>
      <c r="O28" s="4">
        <f t="shared" si="46"/>
        <v>16740</v>
      </c>
      <c r="P28" s="4">
        <f t="shared" si="46"/>
        <v>17556</v>
      </c>
      <c r="Q28" s="4">
        <f t="shared" si="46"/>
        <v>33913</v>
      </c>
      <c r="R28" s="4">
        <f t="shared" si="46"/>
        <v>18299</v>
      </c>
      <c r="S28" s="4">
        <f t="shared" si="46"/>
        <v>24097</v>
      </c>
      <c r="T28" s="4">
        <f t="shared" si="46"/>
        <v>22291</v>
      </c>
      <c r="U28" s="4">
        <f t="shared" si="46"/>
        <v>21870</v>
      </c>
      <c r="V28" s="4">
        <f>+V26-V27</f>
        <v>21939</v>
      </c>
      <c r="W28" s="4">
        <f t="shared" ref="W28:Y28" si="47">+W26-W27</f>
        <v>22036</v>
      </c>
      <c r="X28" s="4">
        <f t="shared" si="47"/>
        <v>24667</v>
      </c>
      <c r="Y28" s="4">
        <f t="shared" si="47"/>
        <v>24108</v>
      </c>
      <c r="Z28" s="1"/>
      <c r="AA28" s="4">
        <f t="shared" ref="AA28" si="48">+AA26-AA27</f>
        <v>16571</v>
      </c>
      <c r="AB28" s="4">
        <f t="shared" ref="AB28:AF28" si="49">+AB26-AB27</f>
        <v>39240</v>
      </c>
      <c r="AC28" s="4">
        <f t="shared" si="49"/>
        <v>44281</v>
      </c>
      <c r="AD28" s="4">
        <f t="shared" si="49"/>
        <v>61271</v>
      </c>
      <c r="AE28" s="4">
        <f t="shared" si="49"/>
        <v>72738</v>
      </c>
      <c r="AF28" s="4">
        <f t="shared" si="49"/>
        <v>72361</v>
      </c>
      <c r="AG28" s="4">
        <f t="shared" ref="AG28:AM28" si="50">+AG26-AG27</f>
        <v>88136</v>
      </c>
      <c r="AH28" s="4">
        <f t="shared" si="50"/>
        <v>103511.04469150002</v>
      </c>
      <c r="AI28" s="4">
        <f t="shared" si="50"/>
        <v>124050.10318654426</v>
      </c>
      <c r="AJ28" s="4">
        <f t="shared" si="50"/>
        <v>148235.00249665522</v>
      </c>
      <c r="AK28" s="4">
        <f t="shared" si="50"/>
        <v>176728.76867705135</v>
      </c>
      <c r="AL28" s="4">
        <f t="shared" si="50"/>
        <v>210319.56156617799</v>
      </c>
      <c r="AM28" s="4">
        <f t="shared" si="50"/>
        <v>249944.92090243543</v>
      </c>
      <c r="AN28" s="4">
        <f>+AM28*(1+$AP$3)</f>
        <v>254943.81932048415</v>
      </c>
      <c r="AO28" s="4">
        <f t="shared" ref="AO28:CZ28" si="51">+AN28*(1+$AP$3)</f>
        <v>260042.69570689384</v>
      </c>
      <c r="AP28" s="4">
        <f t="shared" si="51"/>
        <v>265243.54962103174</v>
      </c>
      <c r="AQ28" s="4">
        <f t="shared" si="51"/>
        <v>270548.42061345238</v>
      </c>
      <c r="AR28" s="4">
        <f t="shared" si="51"/>
        <v>275959.38902572147</v>
      </c>
      <c r="AS28" s="4">
        <f t="shared" si="51"/>
        <v>281478.57680623588</v>
      </c>
      <c r="AT28" s="4">
        <f t="shared" si="51"/>
        <v>287108.14834236063</v>
      </c>
      <c r="AU28" s="4">
        <f t="shared" si="51"/>
        <v>292850.31130920787</v>
      </c>
      <c r="AV28" s="4">
        <f t="shared" si="51"/>
        <v>298707.31753539201</v>
      </c>
      <c r="AW28" s="4">
        <f t="shared" si="51"/>
        <v>304681.46388609987</v>
      </c>
      <c r="AX28" s="4">
        <f t="shared" si="51"/>
        <v>310775.09316382185</v>
      </c>
      <c r="AY28" s="4">
        <f t="shared" si="51"/>
        <v>316990.59502709832</v>
      </c>
      <c r="AZ28" s="4">
        <f t="shared" si="51"/>
        <v>323330.40692764026</v>
      </c>
      <c r="BA28" s="4">
        <f t="shared" si="51"/>
        <v>329797.01506619307</v>
      </c>
      <c r="BB28" s="4">
        <f t="shared" si="51"/>
        <v>336392.95536751696</v>
      </c>
      <c r="BC28" s="4">
        <f t="shared" si="51"/>
        <v>343120.81447486731</v>
      </c>
      <c r="BD28" s="4">
        <f t="shared" si="51"/>
        <v>349983.23076436465</v>
      </c>
      <c r="BE28" s="4">
        <f t="shared" si="51"/>
        <v>356982.89537965192</v>
      </c>
      <c r="BF28" s="4">
        <f t="shared" si="51"/>
        <v>364122.55328724498</v>
      </c>
      <c r="BG28" s="4">
        <f t="shared" si="51"/>
        <v>371405.0043529899</v>
      </c>
      <c r="BH28" s="4">
        <f t="shared" si="51"/>
        <v>378833.10444004968</v>
      </c>
      <c r="BI28" s="4">
        <f t="shared" si="51"/>
        <v>386409.76652885065</v>
      </c>
      <c r="BJ28" s="4">
        <f t="shared" si="51"/>
        <v>394137.96185942768</v>
      </c>
      <c r="BK28" s="4">
        <f t="shared" si="51"/>
        <v>402020.72109661624</v>
      </c>
      <c r="BL28" s="4">
        <f t="shared" si="51"/>
        <v>410061.13551854854</v>
      </c>
      <c r="BM28" s="4">
        <f t="shared" si="51"/>
        <v>418262.3582289195</v>
      </c>
      <c r="BN28" s="4">
        <f t="shared" si="51"/>
        <v>426627.60539349791</v>
      </c>
      <c r="BO28" s="4">
        <f t="shared" si="51"/>
        <v>435160.15750136785</v>
      </c>
      <c r="BP28" s="4">
        <f t="shared" si="51"/>
        <v>443863.36065139523</v>
      </c>
      <c r="BQ28" s="4">
        <f t="shared" si="51"/>
        <v>452740.62786442315</v>
      </c>
      <c r="BR28" s="4">
        <f t="shared" si="51"/>
        <v>461795.4404217116</v>
      </c>
      <c r="BS28" s="4">
        <f t="shared" si="51"/>
        <v>471031.34923014586</v>
      </c>
      <c r="BT28" s="4">
        <f t="shared" si="51"/>
        <v>480451.97621474881</v>
      </c>
      <c r="BU28" s="4">
        <f t="shared" si="51"/>
        <v>490061.01573904377</v>
      </c>
      <c r="BV28" s="4">
        <f t="shared" si="51"/>
        <v>499862.23605382466</v>
      </c>
      <c r="BW28" s="4">
        <f t="shared" si="51"/>
        <v>509859.48077490117</v>
      </c>
      <c r="BX28" s="4">
        <f t="shared" si="51"/>
        <v>520056.67039039917</v>
      </c>
      <c r="BY28" s="4">
        <f t="shared" si="51"/>
        <v>530457.8037982072</v>
      </c>
      <c r="BZ28" s="4">
        <f t="shared" si="51"/>
        <v>541066.9598741713</v>
      </c>
      <c r="CA28" s="4">
        <f t="shared" si="51"/>
        <v>551888.29907165468</v>
      </c>
      <c r="CB28" s="4">
        <f t="shared" si="51"/>
        <v>562926.06505308778</v>
      </c>
      <c r="CC28" s="4">
        <f t="shared" si="51"/>
        <v>574184.58635414951</v>
      </c>
      <c r="CD28" s="4">
        <f t="shared" si="51"/>
        <v>585668.27808123245</v>
      </c>
      <c r="CE28" s="4">
        <f t="shared" si="51"/>
        <v>597381.64364285709</v>
      </c>
      <c r="CF28" s="4">
        <f t="shared" si="51"/>
        <v>609329.27651571424</v>
      </c>
      <c r="CG28" s="4">
        <f t="shared" si="51"/>
        <v>621515.86204602849</v>
      </c>
      <c r="CH28" s="4">
        <f t="shared" si="51"/>
        <v>633946.1792869491</v>
      </c>
      <c r="CI28" s="4">
        <f t="shared" si="51"/>
        <v>646625.10287268809</v>
      </c>
      <c r="CJ28" s="4">
        <f t="shared" si="51"/>
        <v>659557.60493014182</v>
      </c>
      <c r="CK28" s="4">
        <f t="shared" si="51"/>
        <v>672748.75702874467</v>
      </c>
      <c r="CL28" s="4">
        <f t="shared" si="51"/>
        <v>686203.73216931953</v>
      </c>
      <c r="CM28" s="4">
        <f t="shared" si="51"/>
        <v>699927.80681270594</v>
      </c>
      <c r="CN28" s="4">
        <f t="shared" si="51"/>
        <v>713926.36294896004</v>
      </c>
      <c r="CO28" s="4">
        <f t="shared" si="51"/>
        <v>728204.8902079392</v>
      </c>
      <c r="CP28" s="4">
        <f t="shared" si="51"/>
        <v>742768.98801209801</v>
      </c>
      <c r="CQ28" s="4">
        <f t="shared" si="51"/>
        <v>757624.36777233996</v>
      </c>
      <c r="CR28" s="4">
        <f t="shared" si="51"/>
        <v>772776.85512778675</v>
      </c>
      <c r="CS28" s="4">
        <f t="shared" si="51"/>
        <v>788232.39223034249</v>
      </c>
      <c r="CT28" s="4">
        <f t="shared" si="51"/>
        <v>803997.04007494939</v>
      </c>
      <c r="CU28" s="4">
        <f t="shared" si="51"/>
        <v>820076.98087644833</v>
      </c>
      <c r="CV28" s="4">
        <f t="shared" si="51"/>
        <v>836478.52049397735</v>
      </c>
      <c r="CW28" s="4">
        <f t="shared" si="51"/>
        <v>853208.09090385691</v>
      </c>
      <c r="CX28" s="4">
        <f t="shared" si="51"/>
        <v>870272.25272193411</v>
      </c>
      <c r="CY28" s="4">
        <f t="shared" si="51"/>
        <v>887677.69777637278</v>
      </c>
      <c r="CZ28" s="4">
        <f t="shared" si="51"/>
        <v>905431.25173190027</v>
      </c>
      <c r="DA28" s="4">
        <f t="shared" ref="DA28:DZ28" si="52">+CZ28*(1+$AP$3)</f>
        <v>923539.87676653825</v>
      </c>
      <c r="DB28" s="4">
        <f t="shared" si="52"/>
        <v>942010.674301869</v>
      </c>
      <c r="DC28" s="4">
        <f t="shared" si="52"/>
        <v>960850.88778790645</v>
      </c>
      <c r="DD28" s="4">
        <f t="shared" si="52"/>
        <v>980067.90554366459</v>
      </c>
      <c r="DE28" s="4">
        <f t="shared" si="52"/>
        <v>999669.26365453785</v>
      </c>
      <c r="DF28" s="4">
        <f t="shared" si="52"/>
        <v>1019662.6489276286</v>
      </c>
      <c r="DG28" s="4">
        <f t="shared" si="52"/>
        <v>1040055.9019061812</v>
      </c>
      <c r="DH28" s="4">
        <f t="shared" si="52"/>
        <v>1060857.0199443048</v>
      </c>
      <c r="DI28" s="4">
        <f t="shared" si="52"/>
        <v>1082074.1603431909</v>
      </c>
      <c r="DJ28" s="4">
        <f t="shared" si="52"/>
        <v>1103715.6435500546</v>
      </c>
      <c r="DK28" s="4">
        <f t="shared" si="52"/>
        <v>1125789.9564210558</v>
      </c>
      <c r="DL28" s="4">
        <f t="shared" si="52"/>
        <v>1148305.7555494769</v>
      </c>
      <c r="DM28" s="4">
        <f t="shared" si="52"/>
        <v>1171271.8706604666</v>
      </c>
      <c r="DN28" s="4">
        <f t="shared" si="52"/>
        <v>1194697.308073676</v>
      </c>
      <c r="DO28" s="4">
        <f t="shared" si="52"/>
        <v>1218591.2542351496</v>
      </c>
      <c r="DP28" s="4">
        <f t="shared" si="52"/>
        <v>1242963.0793198526</v>
      </c>
      <c r="DQ28" s="4">
        <f t="shared" si="52"/>
        <v>1267822.3409062498</v>
      </c>
      <c r="DR28" s="4">
        <f t="shared" si="52"/>
        <v>1293178.7877243748</v>
      </c>
      <c r="DS28" s="4">
        <f t="shared" si="52"/>
        <v>1319042.3634788622</v>
      </c>
      <c r="DT28" s="4">
        <f t="shared" si="52"/>
        <v>1345423.2107484394</v>
      </c>
      <c r="DU28" s="4">
        <f t="shared" si="52"/>
        <v>1372331.6749634081</v>
      </c>
      <c r="DV28" s="4">
        <f t="shared" si="52"/>
        <v>1399778.3084626764</v>
      </c>
      <c r="DW28" s="4">
        <f t="shared" si="52"/>
        <v>1427773.8746319299</v>
      </c>
      <c r="DX28" s="4">
        <f t="shared" si="52"/>
        <v>1456329.3521245685</v>
      </c>
      <c r="DY28" s="4">
        <f t="shared" si="52"/>
        <v>1485455.93916706</v>
      </c>
      <c r="DZ28" s="4">
        <f t="shared" si="52"/>
        <v>1515165.0579504012</v>
      </c>
    </row>
    <row r="29" spans="1:130" x14ac:dyDescent="0.2">
      <c r="A29" s="2" t="s">
        <v>43</v>
      </c>
      <c r="H29" s="2">
        <v>7485</v>
      </c>
      <c r="I29" s="2">
        <v>7555</v>
      </c>
      <c r="J29" s="2">
        <v>7534</v>
      </c>
      <c r="K29" s="2">
        <v>7581</v>
      </c>
      <c r="L29" s="2">
        <v>7485</v>
      </c>
      <c r="M29" s="2">
        <v>7473</v>
      </c>
      <c r="N29" s="2">
        <v>7464</v>
      </c>
      <c r="O29" s="2">
        <v>7506</v>
      </c>
      <c r="P29" s="2">
        <v>7485</v>
      </c>
      <c r="Q29" s="2">
        <v>7473</v>
      </c>
      <c r="R29" s="2">
        <v>7464</v>
      </c>
      <c r="S29" s="2">
        <v>7467</v>
      </c>
      <c r="T29" s="2">
        <v>7462</v>
      </c>
      <c r="U29" s="2">
        <v>7468</v>
      </c>
      <c r="V29" s="2">
        <v>7472</v>
      </c>
      <c r="W29" s="3">
        <v>7433.0383810000003</v>
      </c>
      <c r="X29" s="2">
        <v>7470</v>
      </c>
      <c r="Y29" s="3">
        <v>7468</v>
      </c>
      <c r="AA29" s="2">
        <v>7794</v>
      </c>
      <c r="AB29" s="2">
        <v>7753</v>
      </c>
      <c r="AC29" s="2">
        <v>7683</v>
      </c>
      <c r="AD29" s="2">
        <v>7608</v>
      </c>
      <c r="AE29" s="2">
        <v>7540</v>
      </c>
      <c r="AF29" s="2">
        <v>7472</v>
      </c>
      <c r="AG29" s="2">
        <v>7472</v>
      </c>
      <c r="AH29" s="2">
        <v>7433</v>
      </c>
      <c r="AI29" s="2">
        <v>7433</v>
      </c>
      <c r="AJ29" s="2">
        <v>7433</v>
      </c>
    </row>
    <row r="30" spans="1:130" x14ac:dyDescent="0.2">
      <c r="A30" s="2" t="s">
        <v>44</v>
      </c>
      <c r="B30" s="5" t="e">
        <f t="shared" ref="B30:U30" si="53">+B28/B29</f>
        <v>#DIV/0!</v>
      </c>
      <c r="C30" s="5" t="e">
        <f t="shared" si="53"/>
        <v>#DIV/0!</v>
      </c>
      <c r="D30" s="5" t="e">
        <f t="shared" si="53"/>
        <v>#DIV/0!</v>
      </c>
      <c r="E30" s="5" t="e">
        <f t="shared" si="53"/>
        <v>#DIV/0!</v>
      </c>
      <c r="F30" s="5" t="e">
        <f t="shared" si="53"/>
        <v>#DIV/0!</v>
      </c>
      <c r="G30" s="5" t="e">
        <f t="shared" si="53"/>
        <v>#DIV/0!</v>
      </c>
      <c r="H30" s="5">
        <f t="shared" si="53"/>
        <v>-3.3148964595858383</v>
      </c>
      <c r="I30" s="5">
        <f t="shared" si="53"/>
        <v>-4.3630708140304435</v>
      </c>
      <c r="J30" s="5">
        <f t="shared" si="53"/>
        <v>-4.3312981152110437</v>
      </c>
      <c r="K30" s="5">
        <f t="shared" si="53"/>
        <v>-3.9168975069252077</v>
      </c>
      <c r="L30" s="5">
        <f t="shared" si="53"/>
        <v>1.7035404141616566</v>
      </c>
      <c r="M30" s="5">
        <f t="shared" si="53"/>
        <v>2.0615549310852401</v>
      </c>
      <c r="N30" s="5">
        <f t="shared" si="53"/>
        <v>1.9831189710610932</v>
      </c>
      <c r="O30" s="5">
        <f t="shared" si="53"/>
        <v>2.2302158273381294</v>
      </c>
      <c r="P30" s="5">
        <f t="shared" si="53"/>
        <v>2.3454909819639278</v>
      </c>
      <c r="Q30" s="5">
        <f t="shared" si="53"/>
        <v>4.5380703867255452</v>
      </c>
      <c r="R30" s="5">
        <f t="shared" si="53"/>
        <v>2.4516345123258305</v>
      </c>
      <c r="S30" s="5">
        <f t="shared" si="53"/>
        <v>3.2271327172894066</v>
      </c>
      <c r="T30" s="5">
        <f t="shared" si="53"/>
        <v>2.9872688287322435</v>
      </c>
      <c r="U30" s="5">
        <f t="shared" si="53"/>
        <v>2.9284949116229244</v>
      </c>
      <c r="V30" s="5">
        <f>+V28/V29</f>
        <v>2.936161670235546</v>
      </c>
      <c r="W30" s="5">
        <f t="shared" ref="W30:Y30" si="54">+W28/W29</f>
        <v>2.9646019394070984</v>
      </c>
      <c r="X30" s="5">
        <f t="shared" si="54"/>
        <v>3.3021419009370816</v>
      </c>
      <c r="Y30" s="5">
        <f t="shared" si="54"/>
        <v>3.2281735404392071</v>
      </c>
      <c r="AA30" s="5">
        <f t="shared" ref="AA30" si="55">+AA28/AA29</f>
        <v>2.126122658455222</v>
      </c>
      <c r="AB30" s="5">
        <f t="shared" ref="AB30:AF30" si="56">+AB28/AB29</f>
        <v>5.0612666064749128</v>
      </c>
      <c r="AC30" s="5">
        <f t="shared" si="56"/>
        <v>5.7635038396459715</v>
      </c>
      <c r="AD30" s="5">
        <f t="shared" si="56"/>
        <v>8.0534963196635125</v>
      </c>
      <c r="AE30" s="5">
        <f t="shared" si="56"/>
        <v>9.6469496021220156</v>
      </c>
      <c r="AF30" s="5">
        <f t="shared" si="56"/>
        <v>9.6842880085653107</v>
      </c>
      <c r="AG30" s="5">
        <f t="shared" ref="AG30:AJ30" si="57">+AG28/AG29</f>
        <v>11.795503211991434</v>
      </c>
      <c r="AH30" s="5">
        <f t="shared" si="57"/>
        <v>13.925877127875692</v>
      </c>
      <c r="AI30" s="5">
        <f t="shared" si="57"/>
        <v>16.689103079045374</v>
      </c>
      <c r="AJ30" s="5">
        <f t="shared" si="57"/>
        <v>19.942822883984288</v>
      </c>
    </row>
    <row r="32" spans="1:130" x14ac:dyDescent="0.2">
      <c r="A32" s="2" t="s">
        <v>52</v>
      </c>
      <c r="AB32" s="6">
        <f t="shared" ref="AB32:AM32" si="58">+AB2/AA2-1</f>
        <v>0.24849783765165134</v>
      </c>
      <c r="AC32" s="6">
        <f t="shared" si="58"/>
        <v>0.26843847710134261</v>
      </c>
      <c r="AD32" s="6">
        <f t="shared" si="58"/>
        <v>0.27091036516107203</v>
      </c>
      <c r="AE32" s="6">
        <f t="shared" si="58"/>
        <v>0.28013462891479213</v>
      </c>
      <c r="AF32" s="6">
        <f t="shared" si="58"/>
        <v>0.18789085129454408</v>
      </c>
      <c r="AG32" s="6">
        <f t="shared" si="58"/>
        <v>0.22203326247342758</v>
      </c>
      <c r="AH32" s="6">
        <f t="shared" si="58"/>
        <v>0.19999999999999996</v>
      </c>
      <c r="AI32" s="6">
        <f t="shared" si="58"/>
        <v>0.19999999999999996</v>
      </c>
      <c r="AJ32" s="6">
        <f t="shared" si="58"/>
        <v>0.19999999999999996</v>
      </c>
      <c r="AK32" s="6">
        <f t="shared" si="58"/>
        <v>0.19999999999999996</v>
      </c>
      <c r="AL32" s="6">
        <f t="shared" si="58"/>
        <v>0.19999999999999996</v>
      </c>
      <c r="AM32" s="6">
        <f t="shared" si="58"/>
        <v>0.19999999999999996</v>
      </c>
    </row>
    <row r="33" spans="1:39" x14ac:dyDescent="0.2">
      <c r="A33" s="2" t="s">
        <v>53</v>
      </c>
      <c r="AB33" s="6">
        <f t="shared" ref="AB33:AM33" si="59">+AB3/AA3-1</f>
        <v>0.12194518999858728</v>
      </c>
      <c r="AC33" s="6">
        <f t="shared" si="59"/>
        <v>0.11164972142654794</v>
      </c>
      <c r="AD33" s="6">
        <f t="shared" si="59"/>
        <v>0.12900668252350211</v>
      </c>
      <c r="AE33" s="6">
        <f t="shared" si="59"/>
        <v>0.125150481540931</v>
      </c>
      <c r="AF33" s="6">
        <f t="shared" si="59"/>
        <v>8.885025188355411E-2</v>
      </c>
      <c r="AG33" s="6">
        <f t="shared" si="59"/>
        <v>0.12338273829020641</v>
      </c>
      <c r="AH33" s="6">
        <f t="shared" si="59"/>
        <v>0.12999999999999989</v>
      </c>
      <c r="AI33" s="6">
        <f t="shared" si="59"/>
        <v>0.10000000000000009</v>
      </c>
      <c r="AJ33" s="6">
        <f t="shared" si="59"/>
        <v>0.10000000000000009</v>
      </c>
      <c r="AK33" s="6">
        <f t="shared" si="59"/>
        <v>0.10000000000000009</v>
      </c>
      <c r="AL33" s="6">
        <f t="shared" si="59"/>
        <v>0.10000000000000009</v>
      </c>
      <c r="AM33" s="6">
        <f t="shared" si="59"/>
        <v>0.10000000000000009</v>
      </c>
    </row>
    <row r="34" spans="1:39" x14ac:dyDescent="0.2">
      <c r="A34" s="2" t="s">
        <v>54</v>
      </c>
      <c r="AB34" s="6">
        <f t="shared" ref="AB34:AM34" si="60">+AB4/AA4-1</f>
        <v>4.4932882467465962E-2</v>
      </c>
      <c r="AC34" s="6">
        <f t="shared" si="60"/>
        <v>9.3111056631527411E-2</v>
      </c>
      <c r="AD34" s="6">
        <f t="shared" si="60"/>
        <v>8.7018928859783351E-3</v>
      </c>
      <c r="AE34" s="6">
        <f t="shared" si="60"/>
        <v>0.10107612949128431</v>
      </c>
      <c r="AF34" s="6">
        <f t="shared" si="60"/>
        <v>-0.13141634021243087</v>
      </c>
      <c r="AG34" s="6">
        <f t="shared" si="60"/>
        <v>8.0764402287627268E-2</v>
      </c>
      <c r="AH34" s="6">
        <f t="shared" si="60"/>
        <v>6.0000000000000053E-2</v>
      </c>
      <c r="AI34" s="6">
        <f t="shared" si="60"/>
        <v>6.0000000000000053E-2</v>
      </c>
      <c r="AJ34" s="6">
        <f t="shared" si="60"/>
        <v>6.0000000000000053E-2</v>
      </c>
      <c r="AK34" s="6">
        <f t="shared" si="60"/>
        <v>6.0000000000000053E-2</v>
      </c>
      <c r="AL34" s="6">
        <f t="shared" si="60"/>
        <v>6.0000000000000053E-2</v>
      </c>
      <c r="AM34" s="6">
        <f t="shared" si="60"/>
        <v>6.0000000000000053E-2</v>
      </c>
    </row>
    <row r="35" spans="1:39" x14ac:dyDescent="0.2">
      <c r="A35" s="2" t="s">
        <v>55</v>
      </c>
      <c r="AB35" s="6">
        <f t="shared" ref="AB35:AM35" si="61">+AB5/AA5-1</f>
        <v>0.28427457691576352</v>
      </c>
      <c r="AC35" s="6">
        <f t="shared" si="61"/>
        <v>0.19588392063962101</v>
      </c>
      <c r="AD35" s="6">
        <f t="shared" si="61"/>
        <v>0.90293425776897362</v>
      </c>
      <c r="AE35" s="6">
        <f t="shared" si="61"/>
        <v>-0.10110605074821077</v>
      </c>
      <c r="AF35" s="6">
        <f t="shared" si="61"/>
        <v>8.4901563404748082E-2</v>
      </c>
      <c r="AG35" s="6">
        <f t="shared" si="61"/>
        <v>9.2267662952832064E-2</v>
      </c>
      <c r="AH35" s="6">
        <f t="shared" si="61"/>
        <v>8.0000000000000071E-2</v>
      </c>
      <c r="AI35" s="6">
        <f t="shared" si="61"/>
        <v>8.0000000000000071E-2</v>
      </c>
      <c r="AJ35" s="6">
        <f t="shared" si="61"/>
        <v>8.0000000000000071E-2</v>
      </c>
      <c r="AK35" s="6">
        <f t="shared" si="61"/>
        <v>8.0000000000000071E-2</v>
      </c>
      <c r="AL35" s="6">
        <f t="shared" si="61"/>
        <v>8.0000000000000071E-2</v>
      </c>
      <c r="AM35" s="6">
        <f t="shared" si="61"/>
        <v>8.0000000000000071E-2</v>
      </c>
    </row>
    <row r="36" spans="1:39" x14ac:dyDescent="0.2">
      <c r="A36" s="2" t="s">
        <v>56</v>
      </c>
      <c r="AB36" s="6">
        <f t="shared" ref="AB36:AM36" si="62">+AB6/AA6-1</f>
        <v>9.9777842171351327E-2</v>
      </c>
      <c r="AC36" s="6">
        <f t="shared" si="62"/>
        <v>1.6599332513613119E-2</v>
      </c>
      <c r="AD36" s="6">
        <f t="shared" si="62"/>
        <v>-0.11110151187904971</v>
      </c>
      <c r="AE36" s="6">
        <f t="shared" si="62"/>
        <v>0.57741277092040044</v>
      </c>
      <c r="AF36" s="6">
        <f t="shared" si="62"/>
        <v>-4.7073321010474456E-2</v>
      </c>
      <c r="AG36" s="6">
        <f t="shared" si="62"/>
        <v>0.39034010086641668</v>
      </c>
      <c r="AH36" s="6">
        <f t="shared" si="62"/>
        <v>0.30000000000000004</v>
      </c>
      <c r="AI36" s="6">
        <f t="shared" si="62"/>
        <v>0.10000000000000009</v>
      </c>
      <c r="AJ36" s="6">
        <f t="shared" si="62"/>
        <v>0.10000000000000009</v>
      </c>
      <c r="AK36" s="6">
        <f t="shared" si="62"/>
        <v>0.10000000000000009</v>
      </c>
      <c r="AL36" s="6">
        <f t="shared" si="62"/>
        <v>0.10000000000000009</v>
      </c>
      <c r="AM36" s="6">
        <f t="shared" si="62"/>
        <v>0.10000000000000009</v>
      </c>
    </row>
    <row r="37" spans="1:39" x14ac:dyDescent="0.2">
      <c r="A37" s="2" t="s">
        <v>57</v>
      </c>
      <c r="AB37" s="6">
        <f t="shared" ref="AB37:AM37" si="63">+AB7/AA7-1</f>
        <v>8.7849401026811158E-2</v>
      </c>
      <c r="AC37" s="6">
        <f t="shared" si="63"/>
        <v>1.4682747771368687E-2</v>
      </c>
      <c r="AD37" s="6">
        <f t="shared" si="63"/>
        <v>0.19728682170542644</v>
      </c>
      <c r="AE37" s="6">
        <f t="shared" si="63"/>
        <v>0.25078234595877835</v>
      </c>
      <c r="AF37" s="6">
        <f t="shared" si="63"/>
        <v>4.89172633940127E-2</v>
      </c>
      <c r="AG37" s="6">
        <f t="shared" si="63"/>
        <v>3.4380654712946157E-2</v>
      </c>
      <c r="AH37" s="6">
        <f t="shared" si="63"/>
        <v>3.0000000000000027E-2</v>
      </c>
      <c r="AI37" s="6">
        <f t="shared" si="63"/>
        <v>3.0000000000000027E-2</v>
      </c>
      <c r="AJ37" s="6">
        <f t="shared" si="63"/>
        <v>3.0000000000000027E-2</v>
      </c>
      <c r="AK37" s="6">
        <f t="shared" si="63"/>
        <v>3.0000000000000027E-2</v>
      </c>
      <c r="AL37" s="6">
        <f t="shared" si="63"/>
        <v>3.0000000000000027E-2</v>
      </c>
      <c r="AM37" s="6">
        <f t="shared" si="63"/>
        <v>3.0000000000000027E-2</v>
      </c>
    </row>
    <row r="38" spans="1:39" x14ac:dyDescent="0.2">
      <c r="A38" s="2" t="s">
        <v>58</v>
      </c>
      <c r="F38" s="6"/>
      <c r="G38" s="6"/>
      <c r="H38" s="6"/>
      <c r="I38" s="6"/>
      <c r="J38" s="6"/>
      <c r="K38" s="6"/>
      <c r="L38" s="6"/>
      <c r="M38" s="6"/>
      <c r="N38" s="6"/>
      <c r="O38" s="6"/>
      <c r="P38" s="6"/>
      <c r="Q38" s="6"/>
      <c r="R38" s="6"/>
      <c r="S38" s="6"/>
      <c r="T38" s="6"/>
      <c r="U38" s="6"/>
      <c r="V38" s="6"/>
      <c r="W38" s="6"/>
      <c r="X38" s="6"/>
      <c r="Y38" s="6"/>
      <c r="AB38" s="6">
        <f t="shared" ref="AB38:AM38" si="64">+AB8/AA8-1</f>
        <v>4.7553882996920871E-2</v>
      </c>
      <c r="AC38" s="6">
        <f t="shared" si="64"/>
        <v>4.6538210320052231E-2</v>
      </c>
      <c r="AD38" s="6">
        <f t="shared" si="64"/>
        <v>8.3320330784833807E-2</v>
      </c>
      <c r="AE38" s="6">
        <f t="shared" si="64"/>
        <v>6.6829900619328919E-2</v>
      </c>
      <c r="AF38" s="6">
        <f t="shared" si="64"/>
        <v>6.655866072633998E-2</v>
      </c>
      <c r="AG38" s="6">
        <f t="shared" si="64"/>
        <v>-3.8734177215189902E-2</v>
      </c>
      <c r="AH38" s="6">
        <f t="shared" si="64"/>
        <v>3.0000000000000027E-2</v>
      </c>
      <c r="AI38" s="6">
        <f t="shared" si="64"/>
        <v>3.0000000000000027E-2</v>
      </c>
      <c r="AJ38" s="6">
        <f t="shared" si="64"/>
        <v>3.0000000000000027E-2</v>
      </c>
      <c r="AK38" s="6">
        <f t="shared" si="64"/>
        <v>3.0000000000000027E-2</v>
      </c>
      <c r="AL38" s="6">
        <f t="shared" si="64"/>
        <v>3.0000000000000027E-2</v>
      </c>
      <c r="AM38" s="6">
        <f t="shared" si="64"/>
        <v>3.0000000000000027E-2</v>
      </c>
    </row>
    <row r="39" spans="1:39" x14ac:dyDescent="0.2">
      <c r="A39" s="2" t="s">
        <v>59</v>
      </c>
      <c r="F39" s="6"/>
      <c r="G39" s="6"/>
      <c r="H39" s="6"/>
      <c r="I39" s="6"/>
      <c r="J39" s="6"/>
      <c r="K39" s="6"/>
      <c r="L39" s="6"/>
      <c r="M39" s="6"/>
      <c r="N39" s="6"/>
      <c r="O39" s="6"/>
      <c r="P39" s="6"/>
      <c r="Q39" s="6"/>
      <c r="R39" s="6"/>
      <c r="S39" s="6"/>
      <c r="T39" s="6"/>
      <c r="U39" s="6"/>
      <c r="V39" s="6"/>
      <c r="W39" s="6"/>
      <c r="X39" s="6"/>
      <c r="Y39" s="6"/>
      <c r="AB39" s="6">
        <f t="shared" ref="AB39:AM39" si="65">+AB9/AA9-1</f>
        <v>0.18718348266458906</v>
      </c>
      <c r="AC39" s="6">
        <f t="shared" si="65"/>
        <v>5.9392945036915501E-2</v>
      </c>
      <c r="AD39" s="6">
        <f t="shared" si="65"/>
        <v>5.1726808115223788E-2</v>
      </c>
      <c r="AE39" s="6">
        <f t="shared" si="65"/>
        <v>2.9450743631276755E-2</v>
      </c>
      <c r="AF39" s="6">
        <f t="shared" si="65"/>
        <v>-0.21027034758975827</v>
      </c>
      <c r="AG39" s="6">
        <f t="shared" si="65"/>
        <v>-0.14761818511139291</v>
      </c>
      <c r="AH39" s="6">
        <f t="shared" si="65"/>
        <v>4.0000000000000036E-2</v>
      </c>
      <c r="AI39" s="6">
        <f t="shared" si="65"/>
        <v>4.0000000000000036E-2</v>
      </c>
      <c r="AJ39" s="6">
        <f t="shared" si="65"/>
        <v>4.0000000000000036E-2</v>
      </c>
      <c r="AK39" s="6">
        <f t="shared" si="65"/>
        <v>4.0000000000000036E-2</v>
      </c>
      <c r="AL39" s="6">
        <f t="shared" si="65"/>
        <v>4.0000000000000036E-2</v>
      </c>
      <c r="AM39" s="6">
        <f t="shared" si="65"/>
        <v>4.0000000000000036E-2</v>
      </c>
    </row>
    <row r="40" spans="1:39" x14ac:dyDescent="0.2">
      <c r="A40" s="2" t="s">
        <v>61</v>
      </c>
      <c r="F40" s="6"/>
      <c r="G40" s="6"/>
      <c r="H40" s="6"/>
      <c r="I40" s="6"/>
      <c r="J40" s="6"/>
      <c r="K40" s="6"/>
      <c r="L40" s="6"/>
      <c r="M40" s="6"/>
      <c r="N40" s="6"/>
      <c r="O40" s="6"/>
      <c r="P40" s="6"/>
      <c r="Q40" s="6"/>
      <c r="R40" s="6"/>
      <c r="S40" s="6"/>
      <c r="T40" s="6"/>
      <c r="U40" s="6"/>
      <c r="V40" s="6"/>
      <c r="W40" s="6"/>
      <c r="X40" s="6"/>
      <c r="Y40" s="6"/>
      <c r="AB40" s="6"/>
      <c r="AC40" s="6"/>
      <c r="AD40" s="6"/>
      <c r="AE40" s="6"/>
      <c r="AF40" s="6"/>
      <c r="AG40" s="6">
        <f t="shared" ref="AG40:AM41" si="66">+AG10/AF10-1</f>
        <v>0.19201765679602723</v>
      </c>
      <c r="AH40" s="6">
        <f t="shared" si="66"/>
        <v>7.0000000000000062E-2</v>
      </c>
      <c r="AI40" s="6">
        <f t="shared" si="66"/>
        <v>7.0000000000000062E-2</v>
      </c>
      <c r="AJ40" s="6">
        <f t="shared" si="66"/>
        <v>7.0000000000000062E-2</v>
      </c>
      <c r="AK40" s="6">
        <f t="shared" si="66"/>
        <v>7.0000000000000062E-2</v>
      </c>
      <c r="AL40" s="6">
        <f t="shared" si="66"/>
        <v>7.0000000000000062E-2</v>
      </c>
      <c r="AM40" s="6">
        <f t="shared" si="66"/>
        <v>7.0000000000000062E-2</v>
      </c>
    </row>
    <row r="41" spans="1:39" x14ac:dyDescent="0.2">
      <c r="A41" s="2" t="s">
        <v>60</v>
      </c>
      <c r="AB41" s="6">
        <f>+AB11/AA11-1</f>
        <v>9.917651271034722E-2</v>
      </c>
      <c r="AC41" s="6">
        <f>+AC11/AB11-1</f>
        <v>0.22736156351791537</v>
      </c>
      <c r="AD41" s="6">
        <f>+AD11/AC11-1</f>
        <v>0.18869426751592355</v>
      </c>
      <c r="AE41" s="6">
        <f>+AE11/AD11-1</f>
        <v>0.18129046662201387</v>
      </c>
      <c r="AF41" s="6">
        <f>+AF11/AE11-1</f>
        <v>-0.97750897750897747</v>
      </c>
      <c r="AG41" s="6">
        <f t="shared" si="66"/>
        <v>-0.62184873949579833</v>
      </c>
      <c r="AH41" s="6">
        <f t="shared" si="66"/>
        <v>5.0000000000000044E-2</v>
      </c>
      <c r="AI41" s="6">
        <f t="shared" si="66"/>
        <v>5.0000000000000044E-2</v>
      </c>
      <c r="AJ41" s="6">
        <f t="shared" si="66"/>
        <v>5.0000000000000044E-2</v>
      </c>
      <c r="AK41" s="6">
        <f t="shared" si="66"/>
        <v>5.0000000000000044E-2</v>
      </c>
      <c r="AL41" s="6">
        <f t="shared" si="66"/>
        <v>5.0000000000000044E-2</v>
      </c>
      <c r="AM41" s="6">
        <f t="shared" si="66"/>
        <v>5.0000000000000044E-2</v>
      </c>
    </row>
    <row r="43" spans="1:39" x14ac:dyDescent="0.2">
      <c r="A43" s="2" t="s">
        <v>63</v>
      </c>
      <c r="P43" s="13">
        <f t="shared" ref="P43:X43" si="67">+P16/L16-1</f>
        <v>0.1060308493501334</v>
      </c>
      <c r="Q43" s="13">
        <f t="shared" si="67"/>
        <v>1.9699195793380753E-2</v>
      </c>
      <c r="R43" s="13">
        <f t="shared" si="67"/>
        <v>7.0846839546191198E-2</v>
      </c>
      <c r="S43" s="13">
        <f t="shared" si="67"/>
        <v>0.16080208232912363</v>
      </c>
      <c r="T43" s="13">
        <f t="shared" si="67"/>
        <v>0.12758868361198683</v>
      </c>
      <c r="U43" s="13">
        <f t="shared" si="67"/>
        <v>0.17580146738203117</v>
      </c>
      <c r="V43" s="13">
        <f t="shared" si="67"/>
        <v>0.17028964943148495</v>
      </c>
      <c r="W43" s="13">
        <f t="shared" si="67"/>
        <v>7.5110040694294389E-2</v>
      </c>
      <c r="X43" s="13">
        <f t="shared" si="67"/>
        <v>0.16044729904276589</v>
      </c>
      <c r="Y43" s="13">
        <f>+Y16/U16-1</f>
        <v>0.12273460174137374</v>
      </c>
      <c r="AB43" s="7">
        <f t="shared" ref="AB43:AM43" si="68">+AB16/AA16-1</f>
        <v>0.14029539688292858</v>
      </c>
      <c r="AC43" s="7">
        <f t="shared" si="68"/>
        <v>0.13645574247276371</v>
      </c>
      <c r="AD43" s="7">
        <f t="shared" si="68"/>
        <v>0.17531727441177503</v>
      </c>
      <c r="AE43" s="7">
        <f t="shared" si="68"/>
        <v>0.17956070629670173</v>
      </c>
      <c r="AF43" s="7">
        <f t="shared" si="68"/>
        <v>6.8820295556564215E-2</v>
      </c>
      <c r="AG43" s="7">
        <f t="shared" si="68"/>
        <v>0.1566996201307127</v>
      </c>
      <c r="AH43" s="7">
        <f t="shared" si="68"/>
        <v>0.15128593108737687</v>
      </c>
      <c r="AI43" s="7">
        <f t="shared" si="68"/>
        <v>0.12987051953733997</v>
      </c>
      <c r="AJ43" s="7">
        <f t="shared" si="68"/>
        <v>0.13329898537026619</v>
      </c>
      <c r="AK43" s="7">
        <f t="shared" si="68"/>
        <v>0.13671139351755879</v>
      </c>
      <c r="AL43" s="7">
        <f t="shared" si="68"/>
        <v>0.14009186954211605</v>
      </c>
      <c r="AM43" s="7">
        <f t="shared" si="68"/>
        <v>0.14342497052286074</v>
      </c>
    </row>
    <row r="45" spans="1:39" x14ac:dyDescent="0.2">
      <c r="A45" s="2" t="s">
        <v>45</v>
      </c>
      <c r="B45" s="6" t="e">
        <f t="shared" ref="B45:W45" si="69">+B19/B16</f>
        <v>#DIV/0!</v>
      </c>
      <c r="C45" s="6" t="e">
        <f t="shared" si="69"/>
        <v>#DIV/0!</v>
      </c>
      <c r="D45" s="6" t="e">
        <f t="shared" si="69"/>
        <v>#DIV/0!</v>
      </c>
      <c r="E45" s="6" t="e">
        <f t="shared" si="69"/>
        <v>#DIV/0!</v>
      </c>
      <c r="F45" s="6" t="e">
        <f t="shared" si="69"/>
        <v>#DIV/0!</v>
      </c>
      <c r="G45" s="6" t="e">
        <f t="shared" si="69"/>
        <v>#DIV/0!</v>
      </c>
      <c r="H45" s="6" t="e">
        <f t="shared" si="69"/>
        <v>#DIV/0!</v>
      </c>
      <c r="I45" s="6" t="e">
        <f t="shared" si="69"/>
        <v>#DIV/0!</v>
      </c>
      <c r="J45" s="6" t="e">
        <f t="shared" si="69"/>
        <v>#DIV/0!</v>
      </c>
      <c r="K45" s="6" t="e">
        <f t="shared" si="69"/>
        <v>#DIV/0!</v>
      </c>
      <c r="L45" s="6">
        <f t="shared" si="69"/>
        <v>0.65902420725114197</v>
      </c>
      <c r="M45" s="6">
        <f t="shared" si="69"/>
        <v>0.66192390968141046</v>
      </c>
      <c r="N45" s="6">
        <f t="shared" si="69"/>
        <v>0.673257698541329</v>
      </c>
      <c r="O45" s="6">
        <f t="shared" si="69"/>
        <v>0.68323532247180174</v>
      </c>
      <c r="P45" s="6">
        <f t="shared" si="69"/>
        <v>0.69171222217788597</v>
      </c>
      <c r="Q45" s="6">
        <f t="shared" si="69"/>
        <v>1</v>
      </c>
      <c r="R45" s="6">
        <f t="shared" si="69"/>
        <v>0.69487485101311086</v>
      </c>
      <c r="S45" s="6">
        <f t="shared" si="69"/>
        <v>0.72103645876588318</v>
      </c>
      <c r="T45" s="6">
        <f t="shared" si="69"/>
        <v>0.71155581506449384</v>
      </c>
      <c r="U45" s="6">
        <f t="shared" si="69"/>
        <v>0.68360206385037081</v>
      </c>
      <c r="V45" s="6">
        <f t="shared" si="69"/>
        <v>0.70084710142584628</v>
      </c>
      <c r="W45" s="6">
        <f t="shared" si="69"/>
        <v>0.69589197707293715</v>
      </c>
      <c r="X45" s="6">
        <f t="shared" ref="X45:Y45" si="70">+X19/X16</f>
        <v>0.69354273080734929</v>
      </c>
      <c r="Y45" s="6">
        <f t="shared" si="70"/>
        <v>0.68693991268382348</v>
      </c>
      <c r="AA45" s="7">
        <f t="shared" ref="AA45:AJ45" si="71">+AA19/AA16</f>
        <v>0.65247372236317502</v>
      </c>
      <c r="AB45" s="7">
        <f t="shared" si="71"/>
        <v>0.65901957200638894</v>
      </c>
      <c r="AC45" s="7">
        <f t="shared" si="71"/>
        <v>0.67781001992797962</v>
      </c>
      <c r="AD45" s="7">
        <f t="shared" si="71"/>
        <v>0.68925800771024703</v>
      </c>
      <c r="AE45" s="7">
        <f t="shared" si="71"/>
        <v>0.68401674484289099</v>
      </c>
      <c r="AF45" s="7">
        <f t="shared" si="71"/>
        <v>0.68920085883491022</v>
      </c>
      <c r="AG45" s="7">
        <f t="shared" si="71"/>
        <v>0.69764443827971379</v>
      </c>
      <c r="AH45" s="7">
        <f t="shared" si="71"/>
        <v>0.7042599118635211</v>
      </c>
      <c r="AI45" s="7">
        <f t="shared" si="71"/>
        <v>0.70918684062658566</v>
      </c>
      <c r="AJ45" s="7">
        <f t="shared" si="71"/>
        <v>0.71381840553089582</v>
      </c>
      <c r="AK45" s="7">
        <f t="shared" ref="AK45:AM45" si="72">+AK19/AK16</f>
        <v>0.71815380880807334</v>
      </c>
      <c r="AL45" s="7">
        <f t="shared" si="72"/>
        <v>0.72219464581832782</v>
      </c>
      <c r="AM45" s="7">
        <f t="shared" si="72"/>
        <v>0.72594484482063015</v>
      </c>
    </row>
    <row r="46" spans="1:39" x14ac:dyDescent="0.2">
      <c r="A46" s="2" t="s">
        <v>46</v>
      </c>
      <c r="B46" s="6" t="e">
        <f t="shared" ref="B46:W46" si="73">+B24/B16</f>
        <v>#DIV/0!</v>
      </c>
      <c r="C46" s="6" t="e">
        <f t="shared" si="73"/>
        <v>#DIV/0!</v>
      </c>
      <c r="D46" s="6" t="e">
        <f t="shared" si="73"/>
        <v>#DIV/0!</v>
      </c>
      <c r="E46" s="6" t="e">
        <f t="shared" si="73"/>
        <v>#DIV/0!</v>
      </c>
      <c r="F46" s="6" t="e">
        <f t="shared" si="73"/>
        <v>#DIV/0!</v>
      </c>
      <c r="G46" s="6" t="e">
        <f t="shared" si="73"/>
        <v>#DIV/0!</v>
      </c>
      <c r="H46" s="6" t="e">
        <f t="shared" si="73"/>
        <v>#DIV/0!</v>
      </c>
      <c r="I46" s="6" t="e">
        <f t="shared" si="73"/>
        <v>#DIV/0!</v>
      </c>
      <c r="J46" s="6" t="e">
        <f t="shared" si="73"/>
        <v>#DIV/0!</v>
      </c>
      <c r="K46" s="6" t="e">
        <f t="shared" si="73"/>
        <v>#DIV/0!</v>
      </c>
      <c r="L46" s="6">
        <f t="shared" si="73"/>
        <v>0.36880199483637488</v>
      </c>
      <c r="M46" s="6">
        <f t="shared" si="73"/>
        <v>0.37465202598205999</v>
      </c>
      <c r="N46" s="6">
        <f t="shared" si="73"/>
        <v>0.38198946515397081</v>
      </c>
      <c r="O46" s="6">
        <f t="shared" si="73"/>
        <v>0.3959124650535043</v>
      </c>
      <c r="P46" s="6">
        <f t="shared" si="73"/>
        <v>0.42931247755476637</v>
      </c>
      <c r="Q46" s="6">
        <f t="shared" si="73"/>
        <v>0.71827781674787194</v>
      </c>
      <c r="R46" s="6">
        <f t="shared" si="73"/>
        <v>0.42287681858599618</v>
      </c>
      <c r="S46" s="6">
        <f t="shared" si="73"/>
        <v>0.46956232871024001</v>
      </c>
      <c r="T46" s="6">
        <f t="shared" si="73"/>
        <v>0.47587451563246458</v>
      </c>
      <c r="U46" s="6">
        <f t="shared" si="73"/>
        <v>0.43585940019348596</v>
      </c>
      <c r="V46" s="6">
        <f t="shared" si="73"/>
        <v>0.44587603866921011</v>
      </c>
      <c r="W46" s="6">
        <f t="shared" si="73"/>
        <v>0.43142737960974553</v>
      </c>
      <c r="X46" s="6">
        <f t="shared" ref="X46:Y46" si="74">+X24/X16</f>
        <v>0.46583822520393381</v>
      </c>
      <c r="Y46" s="6">
        <f t="shared" si="74"/>
        <v>0.45457548253676472</v>
      </c>
      <c r="AA46" s="7">
        <f t="shared" ref="AA46:AJ46" si="75">+AA24/AA16</f>
        <v>0.31766944545125048</v>
      </c>
      <c r="AB46" s="7">
        <f t="shared" si="75"/>
        <v>0.3413698020549415</v>
      </c>
      <c r="AC46" s="7">
        <f t="shared" si="75"/>
        <v>0.37030381428521486</v>
      </c>
      <c r="AD46" s="7">
        <f t="shared" si="75"/>
        <v>0.41594878872971303</v>
      </c>
      <c r="AE46" s="7">
        <f t="shared" si="75"/>
        <v>0.4205527815604983</v>
      </c>
      <c r="AF46" s="7">
        <f t="shared" si="75"/>
        <v>0.41772880636104098</v>
      </c>
      <c r="AG46" s="7">
        <f t="shared" si="75"/>
        <v>0.44644299573273716</v>
      </c>
      <c r="AH46" s="7">
        <f t="shared" si="75"/>
        <v>0.45747153856067524</v>
      </c>
      <c r="AI46" s="7">
        <f t="shared" si="75"/>
        <v>0.47019467215322319</v>
      </c>
      <c r="AJ46" s="7">
        <f t="shared" si="75"/>
        <v>0.48244438463391931</v>
      </c>
      <c r="AK46" s="7">
        <f t="shared" ref="AK46:AM46" si="76">+AK24/AK16</f>
        <v>0.49418517262854933</v>
      </c>
      <c r="AL46" s="7">
        <f t="shared" si="76"/>
        <v>0.50538737282029045</v>
      </c>
      <c r="AM46" s="7">
        <f t="shared" si="76"/>
        <v>0.51602760717277352</v>
      </c>
    </row>
    <row r="47" spans="1:39" x14ac:dyDescent="0.2">
      <c r="B47" s="6"/>
      <c r="C47" s="6"/>
      <c r="D47" s="6"/>
      <c r="E47" s="6"/>
      <c r="F47" s="6"/>
      <c r="G47" s="6"/>
      <c r="H47" s="6"/>
      <c r="I47" s="6"/>
      <c r="J47" s="6"/>
      <c r="K47" s="6"/>
      <c r="L47" s="6"/>
      <c r="M47" s="6"/>
      <c r="N47" s="6"/>
      <c r="O47" s="6"/>
      <c r="P47" s="6"/>
      <c r="Q47" s="6"/>
      <c r="R47" s="6"/>
      <c r="S47" s="6"/>
      <c r="T47" s="6"/>
      <c r="U47" s="6"/>
      <c r="V47" s="6"/>
      <c r="AA47" s="6"/>
      <c r="AB47" s="6"/>
      <c r="AC47" s="6"/>
      <c r="AD47" s="6"/>
      <c r="AE47" s="6"/>
      <c r="AF47" s="6"/>
    </row>
    <row r="48" spans="1:39" x14ac:dyDescent="0.2">
      <c r="A48" s="2" t="s">
        <v>97</v>
      </c>
      <c r="B48" s="6"/>
      <c r="C48" s="6"/>
      <c r="D48" s="6"/>
      <c r="E48" s="6"/>
      <c r="F48" s="6"/>
      <c r="G48" s="6"/>
      <c r="H48" s="6"/>
      <c r="I48" s="6"/>
      <c r="J48" s="6"/>
      <c r="K48" s="6"/>
      <c r="L48" s="6"/>
      <c r="M48" s="6"/>
      <c r="N48" s="6"/>
      <c r="O48" s="6"/>
      <c r="P48" s="6"/>
      <c r="Q48" s="6"/>
      <c r="R48" s="6"/>
      <c r="S48" s="6"/>
      <c r="T48" s="6"/>
      <c r="U48" s="6"/>
      <c r="V48" s="6"/>
      <c r="AA48" s="3"/>
      <c r="AB48" s="3"/>
      <c r="AC48" s="3"/>
      <c r="AD48" s="3"/>
      <c r="AE48" s="3"/>
      <c r="AF48" s="3">
        <f>111262+9879-5247-41990</f>
        <v>73904</v>
      </c>
      <c r="AG48" s="3">
        <f>75543+14600-6693-2249-42688</f>
        <v>38513</v>
      </c>
      <c r="AH48" s="3">
        <f>+AG48+AH28</f>
        <v>142024.04469150002</v>
      </c>
      <c r="AI48" s="3">
        <f t="shared" ref="AI48:AM48" si="77">+AH48+AI28</f>
        <v>266074.14787804428</v>
      </c>
      <c r="AJ48" s="3">
        <f t="shared" si="77"/>
        <v>414309.1503746995</v>
      </c>
      <c r="AK48" s="3">
        <f t="shared" si="77"/>
        <v>591037.9190517508</v>
      </c>
      <c r="AL48" s="3">
        <f t="shared" si="77"/>
        <v>801357.48061792878</v>
      </c>
      <c r="AM48" s="3">
        <f t="shared" si="77"/>
        <v>1051302.4015203642</v>
      </c>
    </row>
    <row r="49" spans="1:33" x14ac:dyDescent="0.2">
      <c r="B49" s="6"/>
      <c r="C49" s="6"/>
      <c r="D49" s="6"/>
      <c r="E49" s="6"/>
      <c r="F49" s="6"/>
      <c r="G49" s="6"/>
      <c r="H49" s="6"/>
      <c r="I49" s="6"/>
      <c r="J49" s="6"/>
      <c r="K49" s="6"/>
      <c r="L49" s="6"/>
      <c r="M49" s="6"/>
      <c r="N49" s="6"/>
      <c r="O49" s="6"/>
      <c r="P49" s="6"/>
      <c r="Q49" s="6"/>
      <c r="R49" s="6"/>
      <c r="S49" s="6"/>
      <c r="T49" s="6"/>
      <c r="U49" s="6"/>
      <c r="V49" s="6"/>
      <c r="AA49" s="6"/>
      <c r="AB49" s="6"/>
      <c r="AC49" s="6"/>
      <c r="AD49" s="6"/>
      <c r="AE49" s="6"/>
      <c r="AF49" s="6"/>
    </row>
    <row r="51" spans="1:33" x14ac:dyDescent="0.2">
      <c r="A51" s="2" t="s">
        <v>47</v>
      </c>
      <c r="B51" s="3"/>
      <c r="C51" s="3"/>
      <c r="D51" s="3"/>
      <c r="E51" s="3"/>
      <c r="F51" s="3"/>
      <c r="G51" s="3"/>
      <c r="H51" s="3">
        <v>24540</v>
      </c>
      <c r="I51" s="3">
        <v>14480</v>
      </c>
      <c r="J51" s="3">
        <v>25386</v>
      </c>
      <c r="K51" s="3">
        <v>22710</v>
      </c>
      <c r="L51" s="3">
        <v>23198</v>
      </c>
      <c r="M51" s="3">
        <v>11173</v>
      </c>
      <c r="N51" s="3">
        <v>24441</v>
      </c>
      <c r="O51" s="3">
        <v>24629</v>
      </c>
      <c r="P51" s="3">
        <v>23198</v>
      </c>
      <c r="Q51" s="3">
        <v>11173</v>
      </c>
      <c r="R51" s="3">
        <v>24441</v>
      </c>
      <c r="S51" s="3">
        <v>28770</v>
      </c>
      <c r="T51" s="3">
        <v>30583</v>
      </c>
      <c r="U51" s="3">
        <v>18853</v>
      </c>
      <c r="V51" s="3">
        <v>31917</v>
      </c>
      <c r="W51" s="3">
        <v>37195</v>
      </c>
      <c r="X51" s="3">
        <v>34180</v>
      </c>
      <c r="Y51" s="3">
        <v>22291</v>
      </c>
      <c r="AA51" s="3">
        <v>43884</v>
      </c>
      <c r="AB51" s="3">
        <v>52185</v>
      </c>
      <c r="AC51" s="3">
        <v>60675</v>
      </c>
      <c r="AD51" s="3">
        <v>76740</v>
      </c>
      <c r="AE51" s="3">
        <v>89035</v>
      </c>
      <c r="AF51" s="3">
        <v>87582</v>
      </c>
      <c r="AG51" s="3">
        <v>118548</v>
      </c>
    </row>
    <row r="52" spans="1:33" x14ac:dyDescent="0.2">
      <c r="A52" s="2" t="s">
        <v>48</v>
      </c>
      <c r="B52" s="3"/>
      <c r="C52" s="3"/>
      <c r="D52" s="3"/>
      <c r="E52" s="3"/>
      <c r="F52" s="3"/>
      <c r="G52" s="3"/>
      <c r="H52" s="3">
        <v>5810</v>
      </c>
      <c r="I52" s="3">
        <v>5865</v>
      </c>
      <c r="J52" s="3">
        <v>5340</v>
      </c>
      <c r="K52" s="3">
        <v>6452</v>
      </c>
      <c r="L52" s="3">
        <v>6283</v>
      </c>
      <c r="M52" s="3">
        <v>6274</v>
      </c>
      <c r="N52" s="3">
        <v>6607</v>
      </c>
      <c r="O52" s="3">
        <v>6871</v>
      </c>
      <c r="P52" s="3">
        <v>6283</v>
      </c>
      <c r="Q52" s="3">
        <v>6274</v>
      </c>
      <c r="R52" s="3">
        <v>6607</v>
      </c>
      <c r="S52" s="3">
        <v>8943</v>
      </c>
      <c r="T52" s="3">
        <v>9917</v>
      </c>
      <c r="U52" s="3">
        <v>9735</v>
      </c>
      <c r="V52" s="3">
        <v>10952</v>
      </c>
      <c r="W52" s="3">
        <v>13873</v>
      </c>
      <c r="X52" s="3">
        <v>14923</v>
      </c>
      <c r="Y52" s="3">
        <v>15804</v>
      </c>
      <c r="AA52" s="3">
        <v>11632</v>
      </c>
      <c r="AB52" s="3">
        <v>13925</v>
      </c>
      <c r="AC52" s="3">
        <v>15441</v>
      </c>
      <c r="AD52" s="3">
        <v>20622</v>
      </c>
      <c r="AE52" s="3">
        <v>23886</v>
      </c>
      <c r="AF52" s="3">
        <v>28107</v>
      </c>
      <c r="AG52" s="3">
        <v>44477</v>
      </c>
    </row>
    <row r="53" spans="1:33" x14ac:dyDescent="0.2">
      <c r="A53" s="1" t="s">
        <v>49</v>
      </c>
      <c r="B53" s="4">
        <f t="shared" ref="B53:U53" si="78">+B51-B52</f>
        <v>0</v>
      </c>
      <c r="C53" s="4">
        <f t="shared" si="78"/>
        <v>0</v>
      </c>
      <c r="D53" s="4">
        <f t="shared" si="78"/>
        <v>0</v>
      </c>
      <c r="E53" s="4">
        <f t="shared" si="78"/>
        <v>0</v>
      </c>
      <c r="F53" s="4">
        <f t="shared" si="78"/>
        <v>0</v>
      </c>
      <c r="G53" s="4">
        <f t="shared" si="78"/>
        <v>0</v>
      </c>
      <c r="H53" s="4">
        <f t="shared" si="78"/>
        <v>18730</v>
      </c>
      <c r="I53" s="4">
        <f t="shared" si="78"/>
        <v>8615</v>
      </c>
      <c r="J53" s="4">
        <f t="shared" si="78"/>
        <v>20046</v>
      </c>
      <c r="K53" s="4">
        <f t="shared" si="78"/>
        <v>16258</v>
      </c>
      <c r="L53" s="4">
        <f t="shared" si="78"/>
        <v>16915</v>
      </c>
      <c r="M53" s="4">
        <f t="shared" si="78"/>
        <v>4899</v>
      </c>
      <c r="N53" s="4">
        <f t="shared" si="78"/>
        <v>17834</v>
      </c>
      <c r="O53" s="4">
        <f t="shared" si="78"/>
        <v>17758</v>
      </c>
      <c r="P53" s="4">
        <f t="shared" si="78"/>
        <v>16915</v>
      </c>
      <c r="Q53" s="4">
        <f t="shared" si="78"/>
        <v>4899</v>
      </c>
      <c r="R53" s="4">
        <f t="shared" si="78"/>
        <v>17834</v>
      </c>
      <c r="S53" s="4">
        <f t="shared" si="78"/>
        <v>19827</v>
      </c>
      <c r="T53" s="4">
        <f t="shared" si="78"/>
        <v>20666</v>
      </c>
      <c r="U53" s="4">
        <f t="shared" si="78"/>
        <v>9118</v>
      </c>
      <c r="V53" s="4">
        <f>+V51-V52</f>
        <v>20965</v>
      </c>
      <c r="W53" s="4">
        <f t="shared" ref="W53:Y53" si="79">+W51-W52</f>
        <v>23322</v>
      </c>
      <c r="X53" s="4">
        <f t="shared" si="79"/>
        <v>19257</v>
      </c>
      <c r="Y53" s="4">
        <f t="shared" si="79"/>
        <v>6487</v>
      </c>
      <c r="AA53" s="3">
        <f t="shared" ref="AA53:AC53" si="80">+AA51-AA52</f>
        <v>32252</v>
      </c>
      <c r="AB53" s="3">
        <f t="shared" si="80"/>
        <v>38260</v>
      </c>
      <c r="AC53" s="3">
        <f t="shared" si="80"/>
        <v>45234</v>
      </c>
      <c r="AD53" s="3">
        <f>+AD51-AD52</f>
        <v>56118</v>
      </c>
      <c r="AE53" s="3">
        <f t="shared" ref="AE53:AG53" si="81">+AE51-AE52</f>
        <v>65149</v>
      </c>
      <c r="AF53" s="3">
        <f t="shared" si="81"/>
        <v>59475</v>
      </c>
      <c r="AG53" s="3">
        <f t="shared" si="81"/>
        <v>74071</v>
      </c>
    </row>
    <row r="54" spans="1:33" x14ac:dyDescent="0.2">
      <c r="Y54" s="3"/>
    </row>
    <row r="55" spans="1:33" x14ac:dyDescent="0.2">
      <c r="A55" s="1" t="s">
        <v>50</v>
      </c>
      <c r="B55" s="1"/>
      <c r="C55" s="1"/>
      <c r="D55" s="1"/>
      <c r="E55" s="1"/>
      <c r="F55" s="1"/>
      <c r="G55" s="1"/>
      <c r="H55" s="1"/>
      <c r="I55" s="1"/>
      <c r="J55" s="1"/>
      <c r="K55" s="4">
        <f t="shared" ref="K55:O55" si="82">+SUM(H53:K53)</f>
        <v>63649</v>
      </c>
      <c r="L55" s="4">
        <f t="shared" si="82"/>
        <v>61834</v>
      </c>
      <c r="M55" s="4">
        <f t="shared" si="82"/>
        <v>58118</v>
      </c>
      <c r="N55" s="4">
        <f t="shared" si="82"/>
        <v>55906</v>
      </c>
      <c r="O55" s="4">
        <f t="shared" si="82"/>
        <v>57406</v>
      </c>
      <c r="P55" s="4">
        <f>+SUM(M53:P53)</f>
        <v>57406</v>
      </c>
      <c r="Q55" s="4">
        <f>+SUM(N53:Q53)</f>
        <v>57406</v>
      </c>
      <c r="R55" s="4">
        <f>+SUM(O53:R53)</f>
        <v>57406</v>
      </c>
      <c r="S55" s="4">
        <f t="shared" ref="S55:U55" si="83">+SUM(P53:S53)</f>
        <v>59475</v>
      </c>
      <c r="T55" s="4">
        <f t="shared" si="83"/>
        <v>63226</v>
      </c>
      <c r="U55" s="4">
        <f t="shared" si="83"/>
        <v>67445</v>
      </c>
      <c r="V55" s="4">
        <f>+SUM(S53:V53)</f>
        <v>70576</v>
      </c>
      <c r="W55" s="4">
        <f t="shared" ref="W55" si="84">+SUM(T53:W53)</f>
        <v>74071</v>
      </c>
      <c r="X55" s="4">
        <f t="shared" ref="X55" si="85">+SUM(U53:X53)</f>
        <v>72662</v>
      </c>
      <c r="Y55" s="4">
        <f t="shared" ref="Y55" si="86">+SUM(V53:Y53)</f>
        <v>70031</v>
      </c>
      <c r="AF55" s="8"/>
    </row>
    <row r="57" spans="1:33" x14ac:dyDescent="0.2">
      <c r="A57" s="2" t="s">
        <v>51</v>
      </c>
      <c r="AB57" s="2">
        <v>1.84</v>
      </c>
      <c r="AC57" s="2">
        <v>2.04</v>
      </c>
    </row>
    <row r="59" spans="1:33" x14ac:dyDescent="0.2">
      <c r="A59" s="2" t="s">
        <v>62</v>
      </c>
      <c r="AB59" s="6">
        <f t="shared" ref="AB59:AG59" si="87">+(AB24-AA24)/(AB16-AA16)</f>
        <v>0.51030162113285538</v>
      </c>
      <c r="AC59" s="6">
        <f t="shared" si="87"/>
        <v>0.58234334963894707</v>
      </c>
      <c r="AD59" s="6">
        <f t="shared" si="87"/>
        <v>0.67630518884856217</v>
      </c>
      <c r="AE59" s="6">
        <f t="shared" si="87"/>
        <v>0.44619309522231793</v>
      </c>
      <c r="AF59" s="6">
        <f t="shared" si="87"/>
        <v>0.37669475998534263</v>
      </c>
      <c r="AG59" s="6">
        <f t="shared" si="87"/>
        <v>0.62968651188002533</v>
      </c>
    </row>
    <row r="62" spans="1:33" x14ac:dyDescent="0.2">
      <c r="A62" s="2" t="s">
        <v>42</v>
      </c>
      <c r="AA62" s="3">
        <f>+AA28</f>
        <v>16571</v>
      </c>
      <c r="AB62" s="3">
        <f t="shared" ref="AB62:AG62" si="88">+AB28</f>
        <v>39240</v>
      </c>
      <c r="AC62" s="3">
        <f t="shared" si="88"/>
        <v>44281</v>
      </c>
      <c r="AD62" s="3">
        <f t="shared" si="88"/>
        <v>61271</v>
      </c>
      <c r="AE62" s="3">
        <f t="shared" si="88"/>
        <v>72738</v>
      </c>
      <c r="AF62" s="3">
        <f t="shared" si="88"/>
        <v>72361</v>
      </c>
      <c r="AG62" s="3">
        <f t="shared" si="88"/>
        <v>88136</v>
      </c>
    </row>
    <row r="63" spans="1:33" x14ac:dyDescent="0.2">
      <c r="A63" s="2" t="s">
        <v>65</v>
      </c>
      <c r="AA63" s="3">
        <v>10261</v>
      </c>
      <c r="AB63" s="3">
        <v>11682</v>
      </c>
      <c r="AC63" s="3">
        <v>12796</v>
      </c>
      <c r="AD63" s="3">
        <v>11686</v>
      </c>
      <c r="AE63" s="3">
        <v>14460</v>
      </c>
      <c r="AF63" s="3">
        <v>13861</v>
      </c>
      <c r="AG63" s="3">
        <v>22287</v>
      </c>
    </row>
    <row r="64" spans="1:33" x14ac:dyDescent="0.2">
      <c r="A64" s="2" t="s">
        <v>66</v>
      </c>
      <c r="AA64" s="3">
        <v>3940</v>
      </c>
      <c r="AB64" s="3">
        <v>4652</v>
      </c>
      <c r="AC64" s="3">
        <v>5289</v>
      </c>
      <c r="AD64" s="3">
        <v>6118</v>
      </c>
      <c r="AE64" s="3">
        <v>7502</v>
      </c>
      <c r="AF64" s="3">
        <v>9611</v>
      </c>
      <c r="AG64" s="3">
        <v>10734</v>
      </c>
    </row>
    <row r="65" spans="1:33" x14ac:dyDescent="0.2">
      <c r="A65" s="2" t="s">
        <v>67</v>
      </c>
      <c r="AA65" s="3">
        <v>-2212</v>
      </c>
      <c r="AB65" s="3">
        <v>-792</v>
      </c>
      <c r="AC65" s="3">
        <v>-219</v>
      </c>
      <c r="AD65" s="3">
        <v>-1249</v>
      </c>
      <c r="AE65" s="3">
        <v>-409</v>
      </c>
      <c r="AF65" s="3">
        <v>196</v>
      </c>
      <c r="AG65" s="3">
        <v>305</v>
      </c>
    </row>
    <row r="66" spans="1:33" x14ac:dyDescent="0.2">
      <c r="A66" s="2" t="s">
        <v>68</v>
      </c>
      <c r="AA66" s="3">
        <v>-5143</v>
      </c>
      <c r="AB66" s="3">
        <v>-6463</v>
      </c>
      <c r="AC66" s="3">
        <v>11</v>
      </c>
      <c r="AD66" s="3">
        <v>-150</v>
      </c>
      <c r="AE66" s="3">
        <v>-5702</v>
      </c>
      <c r="AF66" s="3">
        <v>-6059</v>
      </c>
      <c r="AG66" s="3">
        <v>-4738</v>
      </c>
    </row>
    <row r="67" spans="1:33" x14ac:dyDescent="0.2">
      <c r="A67" s="2" t="s">
        <v>69</v>
      </c>
      <c r="AA67" s="3">
        <v>-3862</v>
      </c>
      <c r="AB67" s="3">
        <v>-2812</v>
      </c>
      <c r="AC67" s="3">
        <v>-2577</v>
      </c>
      <c r="AD67" s="3">
        <v>-6481</v>
      </c>
      <c r="AE67" s="3">
        <v>-6834</v>
      </c>
      <c r="AF67" s="3">
        <v>-4087</v>
      </c>
      <c r="AG67" s="3">
        <v>-7191</v>
      </c>
    </row>
    <row r="68" spans="1:33" x14ac:dyDescent="0.2">
      <c r="A68" s="2" t="s">
        <v>70</v>
      </c>
      <c r="AA68" s="3">
        <v>-465</v>
      </c>
      <c r="AB68" s="3">
        <v>597</v>
      </c>
      <c r="AC68" s="3">
        <v>168</v>
      </c>
      <c r="AD68" s="3">
        <v>-737</v>
      </c>
      <c r="AE68" s="3">
        <v>-1123</v>
      </c>
      <c r="AF68" s="3">
        <v>1242</v>
      </c>
      <c r="AG68" s="3">
        <v>1284</v>
      </c>
    </row>
    <row r="69" spans="1:33" x14ac:dyDescent="0.2">
      <c r="A69" s="2" t="s">
        <v>71</v>
      </c>
      <c r="AA69" s="3">
        <v>-952</v>
      </c>
      <c r="AB69" s="3">
        <v>-1718</v>
      </c>
      <c r="AC69" s="3">
        <v>-2330</v>
      </c>
      <c r="AD69" s="3">
        <v>-932</v>
      </c>
      <c r="AE69" s="3">
        <v>-709</v>
      </c>
      <c r="AF69" s="3">
        <v>-1991</v>
      </c>
      <c r="AG69" s="3">
        <v>-1648</v>
      </c>
    </row>
    <row r="70" spans="1:33" x14ac:dyDescent="0.2">
      <c r="A70" s="2" t="s">
        <v>72</v>
      </c>
      <c r="AA70" s="3">
        <v>-285</v>
      </c>
      <c r="AB70" s="3">
        <v>-1834</v>
      </c>
      <c r="AC70" s="3">
        <v>-1037</v>
      </c>
      <c r="AD70" s="3">
        <v>-3459</v>
      </c>
      <c r="AE70" s="3">
        <v>-2805</v>
      </c>
      <c r="AF70" s="3">
        <v>-2833</v>
      </c>
      <c r="AG70" s="3">
        <v>-6817</v>
      </c>
    </row>
    <row r="71" spans="1:33" x14ac:dyDescent="0.2">
      <c r="A71" s="2" t="s">
        <v>73</v>
      </c>
      <c r="AA71" s="3">
        <v>1148</v>
      </c>
      <c r="AB71" s="3">
        <v>232</v>
      </c>
      <c r="AC71" s="3">
        <v>3018</v>
      </c>
      <c r="AD71" s="3">
        <v>2798</v>
      </c>
      <c r="AE71" s="3">
        <v>2943</v>
      </c>
      <c r="AF71" s="3">
        <v>-2721</v>
      </c>
      <c r="AG71" s="3">
        <v>3545</v>
      </c>
    </row>
    <row r="72" spans="1:33" x14ac:dyDescent="0.2">
      <c r="A72" s="2" t="s">
        <v>74</v>
      </c>
      <c r="AA72" s="3">
        <v>5922</v>
      </c>
      <c r="AB72" s="3">
        <v>4462</v>
      </c>
      <c r="AC72" s="3">
        <v>2212</v>
      </c>
      <c r="AD72" s="3">
        <v>4633</v>
      </c>
      <c r="AE72" s="3">
        <v>5109</v>
      </c>
      <c r="AF72" s="3">
        <v>5535</v>
      </c>
      <c r="AG72" s="3">
        <v>5348</v>
      </c>
    </row>
    <row r="73" spans="1:33" x14ac:dyDescent="0.2">
      <c r="A73" s="2" t="s">
        <v>75</v>
      </c>
      <c r="AA73" s="3">
        <v>18183</v>
      </c>
      <c r="AB73" s="3">
        <v>2929</v>
      </c>
      <c r="AC73" s="3">
        <v>-3631</v>
      </c>
      <c r="AD73" s="3">
        <v>-2309</v>
      </c>
      <c r="AE73" s="3">
        <v>696</v>
      </c>
      <c r="AF73" s="3">
        <v>-358</v>
      </c>
      <c r="AG73" s="3">
        <v>1687</v>
      </c>
    </row>
    <row r="74" spans="1:33" x14ac:dyDescent="0.2">
      <c r="A74" s="2" t="s">
        <v>76</v>
      </c>
      <c r="AA74" s="3">
        <v>798</v>
      </c>
      <c r="AB74" s="3">
        <v>1419</v>
      </c>
      <c r="AC74" s="3">
        <v>1346</v>
      </c>
      <c r="AD74" s="3">
        <v>4149</v>
      </c>
      <c r="AE74" s="3">
        <v>2344</v>
      </c>
      <c r="AF74" s="3">
        <v>2272</v>
      </c>
      <c r="AG74" s="3">
        <v>4867</v>
      </c>
    </row>
    <row r="75" spans="1:33" x14ac:dyDescent="0.2">
      <c r="A75" s="2" t="s">
        <v>77</v>
      </c>
      <c r="AA75" s="3">
        <v>-20</v>
      </c>
      <c r="AB75" s="3">
        <v>591</v>
      </c>
      <c r="AC75" s="3">
        <v>1348</v>
      </c>
      <c r="AD75" s="3">
        <v>1402</v>
      </c>
      <c r="AE75" s="3">
        <v>825</v>
      </c>
      <c r="AF75" s="3">
        <v>553</v>
      </c>
      <c r="AG75" s="3">
        <v>749</v>
      </c>
    </row>
    <row r="76" spans="1:33" x14ac:dyDescent="0.2">
      <c r="A76" s="2" t="s">
        <v>78</v>
      </c>
      <c r="AA76" s="3">
        <f>+SUM(AA62:AA75)</f>
        <v>43884</v>
      </c>
      <c r="AB76" s="3">
        <f t="shared" ref="AB76:AG76" si="89">+SUM(AB62:AB75)</f>
        <v>52185</v>
      </c>
      <c r="AC76" s="3">
        <f t="shared" si="89"/>
        <v>60675</v>
      </c>
      <c r="AD76" s="3">
        <f t="shared" si="89"/>
        <v>76740</v>
      </c>
      <c r="AE76" s="3">
        <f t="shared" si="89"/>
        <v>89035</v>
      </c>
      <c r="AF76" s="3">
        <f t="shared" si="89"/>
        <v>87582</v>
      </c>
      <c r="AG76" s="3">
        <f t="shared" si="89"/>
        <v>118548</v>
      </c>
    </row>
    <row r="77" spans="1:33" x14ac:dyDescent="0.2">
      <c r="AA77" s="3"/>
      <c r="AB77" s="3"/>
      <c r="AC77" s="3"/>
      <c r="AD77" s="3"/>
      <c r="AE77" s="3"/>
      <c r="AF77" s="3"/>
      <c r="AG77" s="3"/>
    </row>
    <row r="78" spans="1:33" x14ac:dyDescent="0.2">
      <c r="A78" s="2" t="s">
        <v>79</v>
      </c>
      <c r="AA78" s="3">
        <v>-7324</v>
      </c>
      <c r="AB78" s="3">
        <v>0</v>
      </c>
      <c r="AC78" s="3">
        <v>0</v>
      </c>
      <c r="AD78" s="3">
        <v>0</v>
      </c>
      <c r="AE78" s="3">
        <v>0</v>
      </c>
      <c r="AF78" s="3">
        <v>0</v>
      </c>
      <c r="AG78" s="3">
        <v>5250</v>
      </c>
    </row>
    <row r="79" spans="1:33" x14ac:dyDescent="0.2">
      <c r="A79" s="2" t="s">
        <v>80</v>
      </c>
      <c r="AA79" s="3">
        <v>7183</v>
      </c>
      <c r="AB79" s="3">
        <v>0</v>
      </c>
      <c r="AC79" s="3">
        <v>0</v>
      </c>
      <c r="AD79" s="3">
        <v>0</v>
      </c>
      <c r="AE79" s="3">
        <v>0</v>
      </c>
      <c r="AF79" s="3">
        <v>0</v>
      </c>
      <c r="AG79" s="3">
        <v>24395</v>
      </c>
    </row>
    <row r="80" spans="1:33" x14ac:dyDescent="0.2">
      <c r="A80" s="2" t="s">
        <v>96</v>
      </c>
      <c r="AA80" s="3">
        <v>0</v>
      </c>
      <c r="AB80" s="3">
        <v>0</v>
      </c>
      <c r="AC80" s="3">
        <v>-3417</v>
      </c>
      <c r="AD80" s="3">
        <v>-1754</v>
      </c>
      <c r="AE80" s="3">
        <v>0</v>
      </c>
      <c r="AF80" s="3">
        <v>0</v>
      </c>
      <c r="AG80" s="3">
        <v>0</v>
      </c>
    </row>
    <row r="81" spans="1:37" x14ac:dyDescent="0.2">
      <c r="A81" s="2" t="s">
        <v>81</v>
      </c>
      <c r="AA81" s="3">
        <v>-10060</v>
      </c>
      <c r="AB81" s="3">
        <v>-4000</v>
      </c>
      <c r="AC81" s="3">
        <v>-5518</v>
      </c>
      <c r="AD81" s="3">
        <v>-3750</v>
      </c>
      <c r="AE81" s="3">
        <v>-9023</v>
      </c>
      <c r="AF81" s="3">
        <v>-2750</v>
      </c>
      <c r="AG81" s="3">
        <v>-29070</v>
      </c>
    </row>
    <row r="82" spans="1:37" x14ac:dyDescent="0.2">
      <c r="A82" s="2" t="s">
        <v>82</v>
      </c>
      <c r="AA82" s="3">
        <v>1002</v>
      </c>
      <c r="AB82" s="3">
        <v>1142</v>
      </c>
      <c r="AC82" s="3">
        <v>1343</v>
      </c>
      <c r="AD82" s="3">
        <v>1693</v>
      </c>
      <c r="AE82" s="3">
        <v>1841</v>
      </c>
      <c r="AF82" s="3">
        <v>1866</v>
      </c>
      <c r="AG82" s="3">
        <v>2002</v>
      </c>
      <c r="AH82" s="3"/>
      <c r="AI82" s="3"/>
      <c r="AJ82" s="3"/>
      <c r="AK82" s="3"/>
    </row>
    <row r="83" spans="1:37" x14ac:dyDescent="0.2">
      <c r="A83" s="2" t="s">
        <v>84</v>
      </c>
      <c r="AA83" s="3">
        <v>-10721</v>
      </c>
      <c r="AB83" s="3">
        <v>-19543</v>
      </c>
      <c r="AC83" s="3">
        <v>-22968</v>
      </c>
      <c r="AD83" s="3">
        <v>-27385</v>
      </c>
      <c r="AE83" s="3">
        <v>-32696</v>
      </c>
      <c r="AF83" s="3">
        <v>-22245</v>
      </c>
      <c r="AG83" s="3">
        <v>-17254</v>
      </c>
    </row>
    <row r="84" spans="1:37" x14ac:dyDescent="0.2">
      <c r="A84" s="2" t="s">
        <v>83</v>
      </c>
      <c r="AA84" s="3">
        <v>-12699</v>
      </c>
      <c r="AB84" s="3">
        <v>-13811</v>
      </c>
      <c r="AC84" s="3">
        <v>-15137</v>
      </c>
      <c r="AD84" s="3">
        <v>-16521</v>
      </c>
      <c r="AE84" s="3">
        <v>-18135</v>
      </c>
      <c r="AF84" s="3">
        <v>-19800</v>
      </c>
      <c r="AG84" s="3">
        <v>-21771</v>
      </c>
    </row>
    <row r="85" spans="1:37" x14ac:dyDescent="0.2">
      <c r="A85" s="2" t="s">
        <v>85</v>
      </c>
      <c r="AA85" s="3">
        <v>-971</v>
      </c>
      <c r="AB85" s="3">
        <v>-675</v>
      </c>
      <c r="AC85" s="3">
        <v>-334</v>
      </c>
      <c r="AD85" s="3">
        <v>-769</v>
      </c>
      <c r="AE85" s="3">
        <v>-863</v>
      </c>
      <c r="AF85" s="3">
        <v>-1006</v>
      </c>
      <c r="AG85" s="3">
        <v>-1309</v>
      </c>
    </row>
    <row r="86" spans="1:37" x14ac:dyDescent="0.2">
      <c r="A86" s="2" t="s">
        <v>86</v>
      </c>
      <c r="AA86" s="3">
        <f>+SUM(AA78:AA85)</f>
        <v>-33590</v>
      </c>
      <c r="AB86" s="3">
        <f t="shared" ref="AB86:AG86" si="90">+SUM(AB78:AB85)</f>
        <v>-36887</v>
      </c>
      <c r="AC86" s="3">
        <f t="shared" si="90"/>
        <v>-46031</v>
      </c>
      <c r="AD86" s="3">
        <f t="shared" si="90"/>
        <v>-48486</v>
      </c>
      <c r="AE86" s="3">
        <f t="shared" si="90"/>
        <v>-58876</v>
      </c>
      <c r="AF86" s="3">
        <f t="shared" si="90"/>
        <v>-43935</v>
      </c>
      <c r="AG86" s="3">
        <f t="shared" si="90"/>
        <v>-37757</v>
      </c>
    </row>
    <row r="87" spans="1:37" x14ac:dyDescent="0.2">
      <c r="AA87" s="3"/>
      <c r="AB87" s="3"/>
      <c r="AC87" s="3"/>
      <c r="AD87" s="3"/>
      <c r="AE87" s="3"/>
      <c r="AF87" s="3"/>
      <c r="AG87" s="3"/>
    </row>
    <row r="88" spans="1:37" x14ac:dyDescent="0.2">
      <c r="A88" s="2" t="s">
        <v>87</v>
      </c>
      <c r="AA88" s="3">
        <v>-11632</v>
      </c>
      <c r="AB88" s="3">
        <v>-13925</v>
      </c>
      <c r="AC88" s="3">
        <v>-15441</v>
      </c>
      <c r="AD88" s="3">
        <v>-20622</v>
      </c>
      <c r="AE88" s="3">
        <v>-23886</v>
      </c>
      <c r="AF88" s="3">
        <v>-28107</v>
      </c>
      <c r="AG88" s="3">
        <v>-44477</v>
      </c>
    </row>
    <row r="89" spans="1:37" x14ac:dyDescent="0.2">
      <c r="A89" s="2" t="s">
        <v>88</v>
      </c>
      <c r="AA89" s="3">
        <v>-888</v>
      </c>
      <c r="AB89" s="3">
        <v>-2388</v>
      </c>
      <c r="AC89" s="3">
        <v>-2521</v>
      </c>
      <c r="AD89" s="3">
        <v>-8909</v>
      </c>
      <c r="AE89" s="3">
        <v>-22038</v>
      </c>
      <c r="AF89" s="3">
        <v>-1670</v>
      </c>
      <c r="AG89" s="3">
        <v>-69132</v>
      </c>
    </row>
    <row r="90" spans="1:37" x14ac:dyDescent="0.2">
      <c r="A90" s="2" t="s">
        <v>89</v>
      </c>
      <c r="AA90" s="3">
        <v>-137380</v>
      </c>
      <c r="AB90" s="3">
        <v>-57697</v>
      </c>
      <c r="AC90" s="3">
        <v>-77190</v>
      </c>
      <c r="AD90" s="3">
        <v>-62924</v>
      </c>
      <c r="AE90" s="3">
        <v>-26456</v>
      </c>
      <c r="AF90" s="3">
        <v>-37651</v>
      </c>
      <c r="AG90" s="3">
        <v>-17732</v>
      </c>
    </row>
    <row r="91" spans="1:37" x14ac:dyDescent="0.2">
      <c r="A91" s="2" t="s">
        <v>90</v>
      </c>
      <c r="AA91" s="3">
        <v>26360</v>
      </c>
      <c r="AB91" s="3">
        <v>20043</v>
      </c>
      <c r="AC91" s="3">
        <v>66449</v>
      </c>
      <c r="AD91" s="3">
        <v>51792</v>
      </c>
      <c r="AE91" s="3">
        <v>16451</v>
      </c>
      <c r="AF91" s="3">
        <v>33510</v>
      </c>
      <c r="AG91" s="3">
        <v>24775</v>
      </c>
    </row>
    <row r="92" spans="1:37" x14ac:dyDescent="0.2">
      <c r="A92" s="2" t="s">
        <v>91</v>
      </c>
      <c r="AA92" s="3">
        <v>117577</v>
      </c>
      <c r="AB92" s="3">
        <v>38194</v>
      </c>
      <c r="AC92" s="3">
        <v>17721</v>
      </c>
      <c r="AD92" s="3">
        <v>14008</v>
      </c>
      <c r="AE92" s="3">
        <v>28443</v>
      </c>
      <c r="AF92" s="3">
        <v>14354</v>
      </c>
      <c r="AG92" s="3">
        <v>10894</v>
      </c>
    </row>
    <row r="93" spans="1:37" x14ac:dyDescent="0.2">
      <c r="A93" s="2" t="s">
        <v>92</v>
      </c>
      <c r="AA93" s="3">
        <v>-98</v>
      </c>
      <c r="AB93" s="3">
        <v>0</v>
      </c>
      <c r="AC93" s="3">
        <v>-1241</v>
      </c>
      <c r="AD93" s="3">
        <v>-922</v>
      </c>
      <c r="AE93" s="3">
        <v>-2825</v>
      </c>
      <c r="AF93" s="3">
        <v>-3116</v>
      </c>
      <c r="AG93" s="3">
        <v>-1298</v>
      </c>
    </row>
    <row r="94" spans="1:37" x14ac:dyDescent="0.2">
      <c r="A94" s="2" t="s">
        <v>93</v>
      </c>
      <c r="AA94" s="3">
        <f>+SUM(AA88:AA93)</f>
        <v>-6061</v>
      </c>
      <c r="AB94" s="3">
        <f t="shared" ref="AB94:AG94" si="91">+SUM(AB88:AB93)</f>
        <v>-15773</v>
      </c>
      <c r="AC94" s="3">
        <f t="shared" si="91"/>
        <v>-12223</v>
      </c>
      <c r="AD94" s="3">
        <f t="shared" si="91"/>
        <v>-27577</v>
      </c>
      <c r="AE94" s="3">
        <f t="shared" si="91"/>
        <v>-30311</v>
      </c>
      <c r="AF94" s="3">
        <f t="shared" si="91"/>
        <v>-22680</v>
      </c>
      <c r="AG94" s="3">
        <f t="shared" si="91"/>
        <v>-96970</v>
      </c>
    </row>
    <row r="95" spans="1:37" x14ac:dyDescent="0.2">
      <c r="A95" s="2" t="s">
        <v>94</v>
      </c>
      <c r="AA95" s="3">
        <v>50</v>
      </c>
      <c r="AB95" s="3">
        <v>-115</v>
      </c>
      <c r="AC95" s="3">
        <v>-201</v>
      </c>
      <c r="AD95" s="3">
        <v>-29</v>
      </c>
      <c r="AE95" s="3">
        <v>-141</v>
      </c>
      <c r="AF95" s="3">
        <v>-194</v>
      </c>
      <c r="AG95" s="3">
        <v>-210</v>
      </c>
    </row>
    <row r="96" spans="1:37" x14ac:dyDescent="0.2">
      <c r="A96" s="2" t="s">
        <v>95</v>
      </c>
      <c r="AA96" s="3">
        <f>+AA76+AA86+AA94+AA95</f>
        <v>4283</v>
      </c>
      <c r="AB96" s="3">
        <f t="shared" ref="AB96:AG96" si="92">+AB76+AB86+AB94+AB95</f>
        <v>-590</v>
      </c>
      <c r="AC96" s="3">
        <f t="shared" si="92"/>
        <v>2220</v>
      </c>
      <c r="AD96" s="3">
        <f t="shared" si="92"/>
        <v>648</v>
      </c>
      <c r="AE96" s="3">
        <f>+AE76+AE86+AE94+AE95</f>
        <v>-293</v>
      </c>
      <c r="AF96" s="3">
        <f t="shared" si="92"/>
        <v>20773</v>
      </c>
      <c r="AG96" s="3">
        <f t="shared" si="92"/>
        <v>-16389</v>
      </c>
    </row>
  </sheetData>
  <pageMargins left="0.7" right="0.7" top="0.75" bottom="0.75" header="0.3" footer="0.3"/>
  <pageSetup paperSize="9" orientation="portrait" horizontalDpi="0"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2024-07-19T15:56:43Z</dcterms:created>
  <dcterms:modified xsi:type="dcterms:W3CDTF">2025-03-07T17:02:47Z</dcterms:modified>
</cp:coreProperties>
</file>