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176" documentId="8_{0796319D-2565-4A97-A461-344788A5BD56}" xr6:coauthVersionLast="47" xr6:coauthVersionMax="47" xr10:uidLastSave="{F463F976-2A56-451A-AF55-DD805A82B105}"/>
  <bookViews>
    <workbookView xWindow="11424" yWindow="0" windowWidth="11712" windowHeight="12336" activeTab="1" xr2:uid="{1B2B611E-EA7F-42FF-94C3-B065EA449E5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2" l="1"/>
  <c r="Y7" i="2"/>
  <c r="X7" i="2"/>
  <c r="W7" i="2"/>
  <c r="V7" i="2"/>
  <c r="U7" i="2"/>
  <c r="T7" i="2"/>
  <c r="Z6" i="2"/>
  <c r="Y6" i="2"/>
  <c r="X6" i="2"/>
  <c r="W6" i="2"/>
  <c r="Z5" i="2"/>
  <c r="Y5" i="2"/>
  <c r="X5" i="2"/>
  <c r="W5" i="2"/>
  <c r="V6" i="2"/>
  <c r="V5" i="2"/>
  <c r="U5" i="2"/>
  <c r="T5" i="2"/>
  <c r="T6" i="2"/>
  <c r="T19" i="2" s="1"/>
  <c r="T2" i="2"/>
  <c r="U2" i="2" s="1"/>
  <c r="V2" i="2" s="1"/>
  <c r="W2" i="2" s="1"/>
  <c r="X2" i="2" s="1"/>
  <c r="Y2" i="2" s="1"/>
  <c r="Z2" i="2" s="1"/>
  <c r="L3" i="1" a="1"/>
  <c r="L3" i="1" s="1"/>
  <c r="L5" i="1" s="1"/>
  <c r="L8" i="1" s="1"/>
  <c r="L10" i="1" s="1"/>
  <c r="S10" i="2"/>
  <c r="R65" i="2"/>
  <c r="S7" i="2"/>
  <c r="S20" i="2" s="1"/>
  <c r="S6" i="2"/>
  <c r="S19" i="2" s="1"/>
  <c r="T18" i="2"/>
  <c r="S5" i="2"/>
  <c r="S3" i="2"/>
  <c r="S2" i="2"/>
  <c r="I22" i="2"/>
  <c r="H22" i="2"/>
  <c r="G22" i="2"/>
  <c r="F22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E26" i="2"/>
  <c r="D26" i="2"/>
  <c r="C26" i="2"/>
  <c r="B26" i="2"/>
  <c r="E25" i="2"/>
  <c r="D25" i="2"/>
  <c r="C25" i="2"/>
  <c r="B25" i="2"/>
  <c r="E24" i="2"/>
  <c r="D24" i="2"/>
  <c r="C24" i="2"/>
  <c r="B24" i="2"/>
  <c r="I20" i="2"/>
  <c r="I19" i="2"/>
  <c r="I18" i="2"/>
  <c r="E20" i="2"/>
  <c r="E19" i="2"/>
  <c r="E18" i="2"/>
  <c r="E13" i="2"/>
  <c r="E11" i="2"/>
  <c r="E10" i="2"/>
  <c r="E7" i="2"/>
  <c r="E6" i="2"/>
  <c r="E5" i="2"/>
  <c r="E3" i="2"/>
  <c r="E2" i="2"/>
  <c r="I13" i="2"/>
  <c r="I11" i="2"/>
  <c r="I10" i="2"/>
  <c r="I7" i="2"/>
  <c r="I6" i="2"/>
  <c r="I5" i="2"/>
  <c r="I8" i="2" s="1"/>
  <c r="I3" i="2"/>
  <c r="I2" i="2"/>
  <c r="C20" i="2"/>
  <c r="B20" i="2"/>
  <c r="C19" i="2"/>
  <c r="B19" i="2"/>
  <c r="C18" i="2"/>
  <c r="B18" i="2"/>
  <c r="C10" i="2"/>
  <c r="B10" i="2"/>
  <c r="D20" i="2"/>
  <c r="D19" i="2"/>
  <c r="D18" i="2"/>
  <c r="H20" i="2"/>
  <c r="G20" i="2"/>
  <c r="F20" i="2"/>
  <c r="H19" i="2"/>
  <c r="G19" i="2"/>
  <c r="F19" i="2"/>
  <c r="H18" i="2"/>
  <c r="G18" i="2"/>
  <c r="F18" i="2"/>
  <c r="K20" i="2"/>
  <c r="J20" i="2"/>
  <c r="K19" i="2"/>
  <c r="J19" i="2"/>
  <c r="K18" i="2"/>
  <c r="J18" i="2"/>
  <c r="D10" i="2"/>
  <c r="H10" i="2"/>
  <c r="Q63" i="2"/>
  <c r="P63" i="2"/>
  <c r="R63" i="2"/>
  <c r="R61" i="2"/>
  <c r="Q61" i="2"/>
  <c r="P61" i="2"/>
  <c r="S59" i="2"/>
  <c r="R59" i="2"/>
  <c r="P59" i="2"/>
  <c r="Q59" i="2"/>
  <c r="P58" i="2"/>
  <c r="P54" i="2"/>
  <c r="P40" i="2"/>
  <c r="Q40" i="2"/>
  <c r="R40" i="2"/>
  <c r="Z50" i="2"/>
  <c r="Y50" i="2"/>
  <c r="X50" i="2"/>
  <c r="W50" i="2"/>
  <c r="V50" i="2"/>
  <c r="U50" i="2"/>
  <c r="T50" i="2"/>
  <c r="S50" i="2"/>
  <c r="R50" i="2"/>
  <c r="Q50" i="2"/>
  <c r="P50" i="2"/>
  <c r="Z41" i="2"/>
  <c r="Y41" i="2"/>
  <c r="X41" i="2"/>
  <c r="W41" i="2"/>
  <c r="V41" i="2"/>
  <c r="U41" i="2"/>
  <c r="T41" i="2"/>
  <c r="S41" i="2"/>
  <c r="R20" i="2"/>
  <c r="Q20" i="2"/>
  <c r="P20" i="2"/>
  <c r="Q19" i="2"/>
  <c r="P19" i="2"/>
  <c r="Q18" i="2"/>
  <c r="P18" i="2"/>
  <c r="R19" i="2"/>
  <c r="R18" i="2"/>
  <c r="R11" i="2"/>
  <c r="R10" i="2"/>
  <c r="Q10" i="2"/>
  <c r="P11" i="2"/>
  <c r="P10" i="2"/>
  <c r="Q22" i="2"/>
  <c r="R22" i="2"/>
  <c r="R8" i="2"/>
  <c r="Q8" i="2"/>
  <c r="P8" i="2"/>
  <c r="R4" i="2"/>
  <c r="R24" i="2" s="1"/>
  <c r="Q4" i="2"/>
  <c r="Q24" i="2" s="1"/>
  <c r="P4" i="2"/>
  <c r="P24" i="2" s="1"/>
  <c r="Q1" i="2"/>
  <c r="R1" i="2" s="1"/>
  <c r="S1" i="2" s="1"/>
  <c r="T1" i="2" s="1"/>
  <c r="U1" i="2" s="1"/>
  <c r="V1" i="2" s="1"/>
  <c r="W1" i="2" s="1"/>
  <c r="X1" i="2" s="1"/>
  <c r="Y1" i="2" s="1"/>
  <c r="Z1" i="2" s="1"/>
  <c r="G54" i="2"/>
  <c r="F59" i="2"/>
  <c r="E59" i="2"/>
  <c r="D59" i="2"/>
  <c r="C59" i="2"/>
  <c r="B59" i="2"/>
  <c r="M59" i="2"/>
  <c r="L59" i="2"/>
  <c r="J59" i="2"/>
  <c r="I59" i="2"/>
  <c r="H59" i="2"/>
  <c r="G56" i="2"/>
  <c r="K56" i="2"/>
  <c r="K55" i="2"/>
  <c r="G55" i="2"/>
  <c r="K54" i="2"/>
  <c r="K49" i="2"/>
  <c r="K48" i="2"/>
  <c r="K46" i="2"/>
  <c r="K45" i="2"/>
  <c r="K44" i="2"/>
  <c r="K43" i="2"/>
  <c r="G52" i="2"/>
  <c r="G46" i="2"/>
  <c r="G49" i="2"/>
  <c r="G48" i="2"/>
  <c r="G47" i="2"/>
  <c r="G44" i="2"/>
  <c r="G43" i="2"/>
  <c r="G40" i="2"/>
  <c r="G39" i="2"/>
  <c r="G36" i="2"/>
  <c r="G35" i="2"/>
  <c r="G34" i="2"/>
  <c r="G33" i="2"/>
  <c r="G32" i="2"/>
  <c r="G31" i="2"/>
  <c r="G30" i="2"/>
  <c r="G29" i="2"/>
  <c r="K40" i="2"/>
  <c r="K39" i="2"/>
  <c r="K36" i="2"/>
  <c r="K35" i="2"/>
  <c r="K34" i="2"/>
  <c r="K33" i="2"/>
  <c r="K32" i="2"/>
  <c r="K31" i="2"/>
  <c r="K30" i="2"/>
  <c r="K29" i="2"/>
  <c r="J50" i="2"/>
  <c r="M50" i="2"/>
  <c r="L50" i="2"/>
  <c r="I50" i="2"/>
  <c r="H50" i="2"/>
  <c r="E50" i="2"/>
  <c r="D50" i="2"/>
  <c r="C50" i="2"/>
  <c r="B50" i="2"/>
  <c r="F50" i="2"/>
  <c r="F40" i="2"/>
  <c r="E41" i="2"/>
  <c r="D41" i="2"/>
  <c r="C41" i="2"/>
  <c r="B41" i="2"/>
  <c r="J40" i="2"/>
  <c r="J22" i="2"/>
  <c r="F10" i="2"/>
  <c r="J10" i="2"/>
  <c r="K22" i="2"/>
  <c r="G11" i="2"/>
  <c r="G10" i="2"/>
  <c r="K10" i="2"/>
  <c r="M8" i="2"/>
  <c r="L8" i="2"/>
  <c r="J8" i="2"/>
  <c r="H8" i="2"/>
  <c r="G8" i="2"/>
  <c r="F8" i="2"/>
  <c r="E8" i="2"/>
  <c r="D8" i="2"/>
  <c r="C8" i="2"/>
  <c r="B8" i="2"/>
  <c r="K8" i="2"/>
  <c r="M4" i="2"/>
  <c r="L4" i="2"/>
  <c r="J4" i="2"/>
  <c r="H4" i="2"/>
  <c r="G4" i="2"/>
  <c r="F4" i="2"/>
  <c r="F24" i="2" s="1"/>
  <c r="D4" i="2"/>
  <c r="C4" i="2"/>
  <c r="B4" i="2"/>
  <c r="K4" i="2"/>
  <c r="L6" i="1"/>
  <c r="L4" i="1"/>
  <c r="T20" i="2" l="1"/>
  <c r="T3" i="2"/>
  <c r="T4" i="2" s="1"/>
  <c r="T24" i="2" s="1"/>
  <c r="S8" i="2"/>
  <c r="U20" i="2"/>
  <c r="U18" i="2"/>
  <c r="U22" i="2"/>
  <c r="U6" i="2"/>
  <c r="U19" i="2" s="1"/>
  <c r="U3" i="2"/>
  <c r="U4" i="2" s="1"/>
  <c r="S18" i="2"/>
  <c r="T8" i="2"/>
  <c r="S4" i="2"/>
  <c r="S24" i="2" s="1"/>
  <c r="S22" i="2"/>
  <c r="T22" i="2"/>
  <c r="E4" i="2"/>
  <c r="E9" i="2" s="1"/>
  <c r="E12" i="2" s="1"/>
  <c r="E14" i="2" s="1"/>
  <c r="E16" i="2" s="1"/>
  <c r="I4" i="2"/>
  <c r="I9" i="2" s="1"/>
  <c r="I12" i="2" s="1"/>
  <c r="I14" i="2" s="1"/>
  <c r="I16" i="2" s="1"/>
  <c r="S61" i="2"/>
  <c r="K59" i="2"/>
  <c r="Q9" i="2"/>
  <c r="Q12" i="2" s="1"/>
  <c r="Q14" i="2" s="1"/>
  <c r="Q28" i="2" s="1"/>
  <c r="Q41" i="2" s="1"/>
  <c r="G59" i="2"/>
  <c r="R9" i="2"/>
  <c r="R25" i="2" s="1"/>
  <c r="P9" i="2"/>
  <c r="K9" i="2"/>
  <c r="K12" i="2" s="1"/>
  <c r="K14" i="2" s="1"/>
  <c r="K50" i="2"/>
  <c r="M61" i="2"/>
  <c r="L61" i="2"/>
  <c r="B9" i="2"/>
  <c r="B12" i="2" s="1"/>
  <c r="B14" i="2" s="1"/>
  <c r="B16" i="2" s="1"/>
  <c r="E61" i="2"/>
  <c r="D61" i="2"/>
  <c r="B61" i="2"/>
  <c r="L9" i="2"/>
  <c r="L12" i="2" s="1"/>
  <c r="L14" i="2" s="1"/>
  <c r="M9" i="2"/>
  <c r="M12" i="2" s="1"/>
  <c r="M14" i="2" s="1"/>
  <c r="H9" i="2"/>
  <c r="H12" i="2" s="1"/>
  <c r="H14" i="2" s="1"/>
  <c r="H28" i="2" s="1"/>
  <c r="H41" i="2" s="1"/>
  <c r="H61" i="2" s="1"/>
  <c r="C9" i="2"/>
  <c r="C12" i="2" s="1"/>
  <c r="C14" i="2" s="1"/>
  <c r="C16" i="2" s="1"/>
  <c r="D9" i="2"/>
  <c r="D12" i="2" s="1"/>
  <c r="D14" i="2" s="1"/>
  <c r="D16" i="2" s="1"/>
  <c r="C61" i="2"/>
  <c r="G50" i="2"/>
  <c r="F9" i="2"/>
  <c r="J9" i="2"/>
  <c r="G9" i="2"/>
  <c r="U8" i="2" l="1"/>
  <c r="U9" i="2" s="1"/>
  <c r="T9" i="2"/>
  <c r="T25" i="2" s="1"/>
  <c r="V20" i="2"/>
  <c r="V3" i="2"/>
  <c r="V4" i="2" s="1"/>
  <c r="V24" i="2" s="1"/>
  <c r="V19" i="2"/>
  <c r="V22" i="2"/>
  <c r="U24" i="2"/>
  <c r="S9" i="2"/>
  <c r="I28" i="2"/>
  <c r="I41" i="2" s="1"/>
  <c r="I61" i="2" s="1"/>
  <c r="Q25" i="2"/>
  <c r="Q26" i="2"/>
  <c r="Q16" i="2"/>
  <c r="R12" i="2"/>
  <c r="R14" i="2" s="1"/>
  <c r="R28" i="2" s="1"/>
  <c r="R41" i="2" s="1"/>
  <c r="P12" i="2"/>
  <c r="P14" i="2" s="1"/>
  <c r="P28" i="2" s="1"/>
  <c r="P25" i="2"/>
  <c r="H16" i="2"/>
  <c r="F12" i="2"/>
  <c r="F14" i="2" s="1"/>
  <c r="F25" i="2"/>
  <c r="G12" i="2"/>
  <c r="G14" i="2" s="1"/>
  <c r="K28" i="2"/>
  <c r="K41" i="2" s="1"/>
  <c r="K61" i="2" s="1"/>
  <c r="K16" i="2"/>
  <c r="J12" i="2"/>
  <c r="J14" i="2" s="1"/>
  <c r="W20" i="2" l="1"/>
  <c r="W3" i="2"/>
  <c r="W19" i="2"/>
  <c r="W22" i="2"/>
  <c r="W4" i="2"/>
  <c r="V18" i="2"/>
  <c r="V8" i="2"/>
  <c r="V9" i="2" s="1"/>
  <c r="V25" i="2" s="1"/>
  <c r="U25" i="2"/>
  <c r="S12" i="2"/>
  <c r="S25" i="2"/>
  <c r="P41" i="2"/>
  <c r="R26" i="2"/>
  <c r="R16" i="2"/>
  <c r="P26" i="2"/>
  <c r="P16" i="2"/>
  <c r="J16" i="2"/>
  <c r="J28" i="2"/>
  <c r="J41" i="2" s="1"/>
  <c r="J61" i="2" s="1"/>
  <c r="G16" i="2"/>
  <c r="G28" i="2"/>
  <c r="F16" i="2"/>
  <c r="F28" i="2"/>
  <c r="F41" i="2" s="1"/>
  <c r="F61" i="2" s="1"/>
  <c r="F26" i="2"/>
  <c r="W24" i="2" l="1"/>
  <c r="S13" i="2"/>
  <c r="S14" i="2" s="1"/>
  <c r="W8" i="2"/>
  <c r="W9" i="2" s="1"/>
  <c r="W25" i="2" s="1"/>
  <c r="W18" i="2"/>
  <c r="X3" i="2"/>
  <c r="X4" i="2" s="1"/>
  <c r="X19" i="2"/>
  <c r="X20" i="2"/>
  <c r="X22" i="2"/>
  <c r="G41" i="2"/>
  <c r="G61" i="2" s="1"/>
  <c r="X24" i="2" l="1"/>
  <c r="S65" i="2"/>
  <c r="T10" i="2" s="1"/>
  <c r="T12" i="2" s="1"/>
  <c r="S26" i="2"/>
  <c r="X18" i="2"/>
  <c r="X8" i="2"/>
  <c r="X9" i="2" s="1"/>
  <c r="X25" i="2" s="1"/>
  <c r="Y19" i="2"/>
  <c r="Y3" i="2"/>
  <c r="Y4" i="2" s="1"/>
  <c r="Y20" i="2"/>
  <c r="Y22" i="2"/>
  <c r="Y18" i="2" l="1"/>
  <c r="Y8" i="2"/>
  <c r="Y9" i="2" s="1"/>
  <c r="Y25" i="2" s="1"/>
  <c r="Z22" i="2"/>
  <c r="Z19" i="2"/>
  <c r="Z20" i="2"/>
  <c r="Z3" i="2"/>
  <c r="Z4" i="2" s="1"/>
  <c r="Z24" i="2" s="1"/>
  <c r="Y24" i="2"/>
  <c r="T13" i="2"/>
  <c r="T14" i="2" s="1"/>
  <c r="Z18" i="2" l="1"/>
  <c r="Z8" i="2"/>
  <c r="Z9" i="2" s="1"/>
  <c r="Z25" i="2" s="1"/>
  <c r="T26" i="2"/>
  <c r="T65" i="2"/>
  <c r="U10" i="2" s="1"/>
  <c r="U12" i="2" s="1"/>
  <c r="U13" i="2" l="1"/>
  <c r="U14" i="2" s="1"/>
  <c r="U26" i="2" l="1"/>
  <c r="U65" i="2"/>
  <c r="V10" i="2" s="1"/>
  <c r="V12" i="2" s="1"/>
  <c r="V13" i="2" l="1"/>
  <c r="V14" i="2" s="1"/>
  <c r="V26" i="2" l="1"/>
  <c r="V65" i="2"/>
  <c r="W10" i="2" s="1"/>
  <c r="W12" i="2" s="1"/>
  <c r="W13" i="2" l="1"/>
  <c r="W14" i="2" s="1"/>
  <c r="W26" i="2" l="1"/>
  <c r="W65" i="2"/>
  <c r="X10" i="2" l="1"/>
  <c r="X12" i="2" s="1"/>
  <c r="X13" i="2" l="1"/>
  <c r="X14" i="2" s="1"/>
  <c r="X26" i="2" l="1"/>
  <c r="X65" i="2"/>
  <c r="Y10" i="2" l="1"/>
  <c r="Y12" i="2" s="1"/>
  <c r="Y13" i="2" l="1"/>
  <c r="Y14" i="2" s="1"/>
  <c r="Y26" i="2" l="1"/>
  <c r="Y65" i="2"/>
  <c r="Z10" i="2" l="1"/>
  <c r="Z12" i="2" s="1"/>
  <c r="Z13" i="2" l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C5" i="2" s="1"/>
  <c r="AC6" i="2" s="1"/>
  <c r="Z26" i="2" l="1"/>
  <c r="Z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</author>
  </authors>
  <commentList>
    <comment ref="G11" authorId="0" shapeId="0" xr:uid="{D2A6EE17-017A-4993-9780-15D98C90D973}">
      <text>
        <r>
          <rPr>
            <b/>
            <sz val="9"/>
            <color indexed="81"/>
            <rFont val="Tahoma"/>
            <family val="2"/>
          </rPr>
          <t>alexa:</t>
        </r>
        <r>
          <rPr>
            <sz val="9"/>
            <color indexed="81"/>
            <rFont val="Tahoma"/>
            <family val="2"/>
          </rPr>
          <t xml:space="preserve">
50,3M Loss on extinguishment of debt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<sst xmlns="http://schemas.openxmlformats.org/spreadsheetml/2006/main" count="84" uniqueCount="83">
  <si>
    <t>ticket</t>
  </si>
  <si>
    <t>price</t>
  </si>
  <si>
    <t>shares</t>
  </si>
  <si>
    <t>mc</t>
  </si>
  <si>
    <t>cash</t>
  </si>
  <si>
    <t>debt</t>
  </si>
  <si>
    <t>ev</t>
  </si>
  <si>
    <t>EV/FCF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</si>
  <si>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</si>
  <si>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</si>
  <si>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</si>
  <si>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</si>
  <si>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</si>
  <si>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</si>
  <si>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</si>
  <si>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</si>
  <si>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</si>
  <si>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</si>
  <si>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</si>
  <si>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</si>
  <si>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</si>
  <si>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</si>
  <si>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</si>
  <si>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S&amp;M</t>
  </si>
  <si>
    <t>R&amp;D</t>
  </si>
  <si>
    <t>G&amp;A</t>
  </si>
  <si>
    <t>Total Opex</t>
  </si>
  <si>
    <t>Operating Income</t>
  </si>
  <si>
    <t>Net Interest</t>
  </si>
  <si>
    <t>Other income</t>
  </si>
  <si>
    <t>Pretax Income</t>
  </si>
  <si>
    <t>Taxes</t>
  </si>
  <si>
    <t>Net Income</t>
  </si>
  <si>
    <t>Shares</t>
  </si>
  <si>
    <t>EPS</t>
  </si>
  <si>
    <t>Revenue y/y</t>
  </si>
  <si>
    <t>Founded</t>
  </si>
  <si>
    <t>HQ</t>
  </si>
  <si>
    <t>San Francisco, CA</t>
  </si>
  <si>
    <t>Gross Margin</t>
  </si>
  <si>
    <t>Operating Margin</t>
  </si>
  <si>
    <t>Net Margin</t>
  </si>
  <si>
    <t>D&amp;A</t>
  </si>
  <si>
    <t>Non-cash operating lease costs</t>
  </si>
  <si>
    <t>Amortization of deferred contract acquisition costs</t>
  </si>
  <si>
    <t>SBC</t>
  </si>
  <si>
    <t>Amortization of debt issuance costs</t>
  </si>
  <si>
    <t>Net accretion of premiums on AFSS</t>
  </si>
  <si>
    <t>Deferred income taxes</t>
  </si>
  <si>
    <t>Provision for bad debt</t>
  </si>
  <si>
    <t>Other</t>
  </si>
  <si>
    <t>CIOA&amp;L</t>
  </si>
  <si>
    <t>CFFO</t>
  </si>
  <si>
    <t>Purchases of PPE</t>
  </si>
  <si>
    <t>Capitalized internal-use software</t>
  </si>
  <si>
    <t>Purchases of available-for-sale securities</t>
  </si>
  <si>
    <t>Sales of available-for-sale securities</t>
  </si>
  <si>
    <t>Maturities of available-for-sale securities</t>
  </si>
  <si>
    <t>Other investing activities</t>
  </si>
  <si>
    <t>CFFI</t>
  </si>
  <si>
    <t>Proceeds from the exercise of stock options</t>
  </si>
  <si>
    <t xml:space="preserve">Payment of tax withholding obligation on RSU </t>
  </si>
  <si>
    <t>CFFF</t>
  </si>
  <si>
    <t>Fx</t>
  </si>
  <si>
    <t>Net Change in cash</t>
  </si>
  <si>
    <t>Loss on extinguishment of debt</t>
  </si>
  <si>
    <t>Asset acquisitions and business combinations</t>
  </si>
  <si>
    <t>Repayments of convertible senior notes</t>
  </si>
  <si>
    <t>issuance costs on revolving credit facility</t>
  </si>
  <si>
    <t>Issuance of stock for employee stock purchase plan</t>
  </si>
  <si>
    <t>Payment of indemnity holdback</t>
  </si>
  <si>
    <t>S&amp;M %</t>
  </si>
  <si>
    <t>R&amp;D %</t>
  </si>
  <si>
    <t>G&amp;A %</t>
  </si>
  <si>
    <t>Exchange of convertible senior notes</t>
  </si>
  <si>
    <t>Others</t>
  </si>
  <si>
    <t>FCF</t>
  </si>
  <si>
    <t>Net Cash</t>
  </si>
  <si>
    <t>Maturity</t>
  </si>
  <si>
    <t xml:space="preserve">Discount </t>
  </si>
  <si>
    <t>ROIC</t>
  </si>
  <si>
    <t>NPV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</si>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</sst>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x"/>
    <numFmt numFmtId="165" formatCode="_-[$$-409]* #,##0.00_ ;_-[$$-409]* \-#,##0.00\ ;_-[$$-409]* &quot;-&quot;??_ ;_-@_ "/>
    <numFmt numFmtId="166" formatCode="0.0%"/>
    <numFmt numFmtId="167" formatCode="_([$$-409]* #,##0.00_);_([$$-409]* \(#,##0.00\);_([$$-409]* &quot;-&quot;??_);_(@_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9" fontId="1" fillId="0" borderId="0" xfId="0" applyNumberFormat="1" applyFont="1"/>
    <xf numFmtId="166" fontId="1" fillId="0" borderId="0" xfId="0" applyNumberFormat="1" applyFont="1"/>
    <xf numFmtId="0" fontId="4" fillId="0" borderId="0" xfId="0" applyFont="1"/>
    <xf numFmtId="3" fontId="4" fillId="0" borderId="0" xfId="0" applyNumberFormat="1" applyFont="1"/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42333</xdr:rowOff>
    </xdr:from>
    <xdr:to>
      <xdr:col>11</xdr:col>
      <xdr:colOff>8467</xdr:colOff>
      <xdr:row>70</xdr:row>
      <xdr:rowOff>110067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0EC7F27-737A-7F57-9CC9-EDDC620D5A60}"/>
            </a:ext>
          </a:extLst>
        </xdr:cNvPr>
        <xdr:cNvCxnSpPr/>
      </xdr:nvCxnSpPr>
      <xdr:spPr>
        <a:xfrm>
          <a:off x="9017000" y="42333"/>
          <a:ext cx="8467" cy="119210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592667</xdr:colOff>
      <xdr:row>0</xdr:row>
      <xdr:rowOff>16933</xdr:rowOff>
    </xdr:from>
    <xdr:to>
      <xdr:col>18</xdr:col>
      <xdr:colOff>8467</xdr:colOff>
      <xdr:row>69</xdr:row>
      <xdr:rowOff>160867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7F84EC2-9CC0-FAAC-194B-338E2D1EC438}"/>
            </a:ext>
          </a:extLst>
        </xdr:cNvPr>
        <xdr:cNvCxnSpPr/>
      </xdr:nvCxnSpPr>
      <xdr:spPr>
        <a:xfrm flipH="1">
          <a:off x="13267267" y="16933"/>
          <a:ext cx="25400" cy="118279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en-GB</v>
    <v>brh6oc</v>
    <v>268435456</v>
    <v>1</v>
    <v>Powered by Refinitiv</v>
    <v>0</v>
    <v>CLOUDFLARE, INC. (XNYS:NET)</v>
    <v>2</v>
    <v>3</v>
    <v>Finance</v>
    <v>4</v>
    <v>116</v>
    <v>53.881399999999999</v>
    <v>1.1051</v>
    <v>-2.94</v>
    <v>-9.3179999999999999E-5</v>
    <v>-3.5238999999999999E-2</v>
    <v>-7.4999999999999997E-3</v>
    <v>USD</v>
    <v>Cloudflare, Inc. is a connectivity cloud company. It is a global cloud services provider that delivers a range of services to businesses of all sizes and in all geographies. Its network serves as a scalable, unified control plane to deliver security, performance, and reliability across on-premise, hybrid, cloud and software-as-a-service applications. Its integrated suite of products consists of solutions for an organization's external-facing infrastructure, such as Websites, applications and application programming interfaces to deliver security and reliability; solutions to serve an organization's internal resources, such as internal networks and devices; developer-based solutions and consumer offerings. Its security products include Web Application Firewall, Bot Management, SSL/TLS Encryption and Secure Origin Connection. Its performance products include Content Delivery, Intelligent Routing, Content Optimization and Others. It also offers a zero trust infrastructure access platform.</v>
    <v>3902</v>
    <v>New York Stock Exchange</v>
    <v>XNYS</v>
    <v>XNYS</v>
    <v>101 Townsend St, SAN FRANCISCO, CA, 94107-1934 US</v>
    <v>83.25</v>
    <v>Software &amp; IT Services</v>
    <v>Stock</v>
    <v>45572.998685370316</v>
    <v>0</v>
    <v>80.47</v>
    <v>27503650323</v>
    <v>CLOUDFLARE, INC.</v>
    <v>CLOUDFLARE, INC.</v>
    <v>83.15</v>
    <v>83.43</v>
    <v>80.489999999999995</v>
    <v>80.482500000000002</v>
    <v>341702700</v>
    <v>NET</v>
    <v>CLOUDFLARE, INC. (XNYS:NET)</v>
    <v>1655671</v>
    <v>2092724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3A9C-A054-4348-B2A9-CCD2C80C4593}">
  <dimension ref="F2:L10"/>
  <sheetViews>
    <sheetView topLeftCell="C1" workbookViewId="0">
      <selection activeCell="L10" sqref="L10"/>
    </sheetView>
  </sheetViews>
  <sheetFormatPr defaultRowHeight="13.2" x14ac:dyDescent="0.25"/>
  <cols>
    <col min="1" max="16384" width="8.88671875" style="1"/>
  </cols>
  <sheetData>
    <row r="2" spans="6:12" x14ac:dyDescent="0.25">
      <c r="F2" s="1" t="s">
        <v>36</v>
      </c>
      <c r="G2" s="1">
        <v>2009</v>
      </c>
      <c r="K2" s="1" t="s">
        <v>0</v>
      </c>
      <c r="L2" s="4" t="e" vm="1">
        <v>#VALUE!</v>
      </c>
    </row>
    <row r="3" spans="6:12" x14ac:dyDescent="0.25">
      <c r="F3" s="1" t="s">
        <v>37</v>
      </c>
      <c r="G3" s="1" t="s">
        <v>38</v>
      </c>
      <c r="K3" s="1" t="s">
        <v>1</v>
      </c>
      <c r="L3" s="11" cm="1">
        <f t="array" aca="1" ref="L3" ca="1">+_FV(L2,"Price")</f>
        <v>80.489999999999995</v>
      </c>
    </row>
    <row r="4" spans="6:12" x14ac:dyDescent="0.25">
      <c r="K4" s="1" t="s">
        <v>2</v>
      </c>
      <c r="L4" s="4">
        <f>303.675+38.027</f>
        <v>341.702</v>
      </c>
    </row>
    <row r="5" spans="6:12" x14ac:dyDescent="0.25">
      <c r="K5" s="1" t="s">
        <v>3</v>
      </c>
      <c r="L5" s="5">
        <f ca="1">+L3*L4</f>
        <v>27503.593979999998</v>
      </c>
    </row>
    <row r="6" spans="6:12" x14ac:dyDescent="0.25">
      <c r="K6" s="1" t="s">
        <v>4</v>
      </c>
      <c r="L6" s="5">
        <f>156.967+1600.43</f>
        <v>1757.3970000000002</v>
      </c>
    </row>
    <row r="7" spans="6:12" x14ac:dyDescent="0.25">
      <c r="K7" s="1" t="s">
        <v>5</v>
      </c>
      <c r="L7" s="5">
        <v>1285.3420000000001</v>
      </c>
    </row>
    <row r="8" spans="6:12" x14ac:dyDescent="0.25">
      <c r="K8" s="1" t="s">
        <v>6</v>
      </c>
      <c r="L8" s="5">
        <f ca="1">+L5-L6+L7</f>
        <v>27031.538979999998</v>
      </c>
    </row>
    <row r="10" spans="6:12" x14ac:dyDescent="0.25">
      <c r="K10" s="1" t="s">
        <v>7</v>
      </c>
      <c r="L10" s="3">
        <f ca="1">+L8/159</f>
        <v>170.00967911949684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E713-0B57-485F-83BB-02F886A87E91}">
  <dimension ref="A1:AX71"/>
  <sheetViews>
    <sheetView tabSelected="1" zoomScale="90" zoomScaleNormal="9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W10" sqref="W10"/>
    </sheetView>
  </sheetViews>
  <sheetFormatPr defaultRowHeight="13.2" x14ac:dyDescent="0.25"/>
  <cols>
    <col min="1" max="1" width="42.5546875" style="1" bestFit="1" customWidth="1"/>
    <col min="2" max="28" width="8.88671875" style="1"/>
    <col min="29" max="29" width="11.33203125" style="1" bestFit="1" customWidth="1"/>
    <col min="30" max="16384" width="8.88671875" style="1"/>
  </cols>
  <sheetData>
    <row r="1" spans="1:50" x14ac:dyDescent="0.25"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/>
      <c r="O1" s="9"/>
      <c r="P1" s="9">
        <v>2021</v>
      </c>
      <c r="Q1" s="9">
        <f>+P1+1</f>
        <v>2022</v>
      </c>
      <c r="R1" s="9">
        <f t="shared" ref="R1:Z1" si="0">+Q1+1</f>
        <v>2023</v>
      </c>
      <c r="S1" s="9">
        <f t="shared" si="0"/>
        <v>2024</v>
      </c>
      <c r="T1" s="9">
        <f t="shared" si="0"/>
        <v>2025</v>
      </c>
      <c r="U1" s="9">
        <f t="shared" si="0"/>
        <v>2026</v>
      </c>
      <c r="V1" s="9">
        <f t="shared" si="0"/>
        <v>2027</v>
      </c>
      <c r="W1" s="9">
        <f t="shared" si="0"/>
        <v>2028</v>
      </c>
      <c r="X1" s="9">
        <f t="shared" si="0"/>
        <v>2029</v>
      </c>
      <c r="Y1" s="9">
        <f t="shared" si="0"/>
        <v>2030</v>
      </c>
      <c r="Z1" s="9">
        <f t="shared" si="0"/>
        <v>2031</v>
      </c>
    </row>
    <row r="2" spans="1:50" x14ac:dyDescent="0.25">
      <c r="A2" s="1" t="s">
        <v>20</v>
      </c>
      <c r="B2" s="2">
        <v>212.167</v>
      </c>
      <c r="C2" s="2">
        <v>234.517</v>
      </c>
      <c r="D2" s="2">
        <v>253.857</v>
      </c>
      <c r="E2" s="2">
        <f>+Q2-SUM(B2:D2)</f>
        <v>274.70000000000005</v>
      </c>
      <c r="F2" s="2">
        <v>290.17500000000001</v>
      </c>
      <c r="G2" s="2">
        <v>308.49400000000003</v>
      </c>
      <c r="H2" s="2">
        <v>335.60300000000001</v>
      </c>
      <c r="I2" s="2">
        <f>+R2-SUM(F2:H2)</f>
        <v>362.47299999999973</v>
      </c>
      <c r="J2" s="2">
        <v>378.60199999999998</v>
      </c>
      <c r="K2" s="2">
        <v>400.99599999999998</v>
      </c>
      <c r="L2" s="2"/>
      <c r="M2" s="2"/>
      <c r="P2" s="2">
        <v>656.42600000000004</v>
      </c>
      <c r="Q2" s="2">
        <v>975.24099999999999</v>
      </c>
      <c r="R2" s="2">
        <v>1296.7449999999999</v>
      </c>
      <c r="S2" s="2">
        <f>+R2*1.275</f>
        <v>1653.3498749999997</v>
      </c>
      <c r="T2" s="2">
        <f t="shared" ref="T2:Z2" si="1">+S2*1.275</f>
        <v>2108.0210906249995</v>
      </c>
      <c r="U2" s="2">
        <f t="shared" si="1"/>
        <v>2687.7268905468741</v>
      </c>
      <c r="V2" s="2">
        <f t="shared" si="1"/>
        <v>3426.8517854472643</v>
      </c>
      <c r="W2" s="2">
        <f t="shared" si="1"/>
        <v>4369.2360264452618</v>
      </c>
      <c r="X2" s="2">
        <f t="shared" si="1"/>
        <v>5570.7759337177085</v>
      </c>
      <c r="Y2" s="2">
        <f t="shared" si="1"/>
        <v>7102.7393154900783</v>
      </c>
      <c r="Z2" s="2">
        <f t="shared" si="1"/>
        <v>9055.9926272498487</v>
      </c>
      <c r="AB2" s="1" t="s">
        <v>79</v>
      </c>
      <c r="AC2" s="7">
        <v>7.0000000000000007E-2</v>
      </c>
    </row>
    <row r="3" spans="1:50" x14ac:dyDescent="0.25">
      <c r="A3" s="1" t="s">
        <v>21</v>
      </c>
      <c r="B3" s="2">
        <v>47.051000000000002</v>
      </c>
      <c r="C3" s="2">
        <v>55.804000000000002</v>
      </c>
      <c r="D3" s="2">
        <v>61.697000000000003</v>
      </c>
      <c r="E3" s="2">
        <f t="shared" ref="E3" si="2">+Q3-SUM(B3:D3)</f>
        <v>68.057999999999993</v>
      </c>
      <c r="F3" s="2">
        <v>70.432000000000002</v>
      </c>
      <c r="G3" s="2">
        <v>75.221000000000004</v>
      </c>
      <c r="H3" s="2">
        <v>78.069000000000003</v>
      </c>
      <c r="I3" s="2">
        <f t="shared" ref="I3" si="3">+R3-SUM(F3:H3)</f>
        <v>83.282999999999959</v>
      </c>
      <c r="J3" s="2">
        <v>85.037999999999997</v>
      </c>
      <c r="K3" s="2">
        <v>89.010999999999996</v>
      </c>
      <c r="L3" s="2"/>
      <c r="M3" s="2"/>
      <c r="P3" s="2">
        <v>147.13399999999999</v>
      </c>
      <c r="Q3" s="2">
        <v>232.61</v>
      </c>
      <c r="R3" s="2">
        <v>307.005</v>
      </c>
      <c r="S3" s="2">
        <f>+S2*0.24</f>
        <v>396.80396999999988</v>
      </c>
      <c r="T3" s="2">
        <f t="shared" ref="T3:Z3" si="4">+T2*0.24</f>
        <v>505.92506174999988</v>
      </c>
      <c r="U3" s="2">
        <f t="shared" si="4"/>
        <v>645.05445373124974</v>
      </c>
      <c r="V3" s="2">
        <f t="shared" si="4"/>
        <v>822.44442850734345</v>
      </c>
      <c r="W3" s="2">
        <f t="shared" si="4"/>
        <v>1048.6166463468628</v>
      </c>
      <c r="X3" s="2">
        <f t="shared" si="4"/>
        <v>1336.98622409225</v>
      </c>
      <c r="Y3" s="2">
        <f t="shared" si="4"/>
        <v>1704.6574357176187</v>
      </c>
      <c r="Z3" s="2">
        <f t="shared" si="4"/>
        <v>2173.4382305399636</v>
      </c>
      <c r="AB3" s="1" t="s">
        <v>78</v>
      </c>
      <c r="AC3" s="7">
        <v>0.05</v>
      </c>
    </row>
    <row r="4" spans="1:50" x14ac:dyDescent="0.25">
      <c r="A4" s="1" t="s">
        <v>22</v>
      </c>
      <c r="B4" s="2">
        <f t="shared" ref="B4:J4" si="5">+B2-B3</f>
        <v>165.11599999999999</v>
      </c>
      <c r="C4" s="2">
        <f t="shared" si="5"/>
        <v>178.71299999999999</v>
      </c>
      <c r="D4" s="2">
        <f t="shared" si="5"/>
        <v>192.16</v>
      </c>
      <c r="E4" s="2">
        <f t="shared" si="5"/>
        <v>206.64200000000005</v>
      </c>
      <c r="F4" s="2">
        <f t="shared" si="5"/>
        <v>219.74299999999999</v>
      </c>
      <c r="G4" s="2">
        <f t="shared" si="5"/>
        <v>233.27300000000002</v>
      </c>
      <c r="H4" s="2">
        <f t="shared" si="5"/>
        <v>257.53399999999999</v>
      </c>
      <c r="I4" s="2">
        <f t="shared" si="5"/>
        <v>279.18999999999977</v>
      </c>
      <c r="J4" s="2">
        <f t="shared" si="5"/>
        <v>293.56399999999996</v>
      </c>
      <c r="K4" s="2">
        <f>+K2-K3</f>
        <v>311.98500000000001</v>
      </c>
      <c r="L4" s="2">
        <f t="shared" ref="L4:M4" si="6">+L2-L3</f>
        <v>0</v>
      </c>
      <c r="M4" s="2">
        <f t="shared" si="6"/>
        <v>0</v>
      </c>
      <c r="P4" s="2">
        <f t="shared" ref="P4" si="7">+P2-P3</f>
        <v>509.29200000000003</v>
      </c>
      <c r="Q4" s="2">
        <f t="shared" ref="Q4" si="8">+Q2-Q3</f>
        <v>742.63099999999997</v>
      </c>
      <c r="R4" s="2">
        <f t="shared" ref="R4" si="9">+R2-R3</f>
        <v>989.7399999999999</v>
      </c>
      <c r="S4" s="2">
        <f t="shared" ref="S4" si="10">+S2-S3</f>
        <v>1256.5459049999997</v>
      </c>
      <c r="T4" s="2">
        <f t="shared" ref="T4" si="11">+T2-T3</f>
        <v>1602.0960288749995</v>
      </c>
      <c r="U4" s="2">
        <f t="shared" ref="U4" si="12">+U2-U3</f>
        <v>2042.6724368156242</v>
      </c>
      <c r="V4" s="2">
        <f t="shared" ref="V4" si="13">+V2-V3</f>
        <v>2604.4073569399206</v>
      </c>
      <c r="W4" s="2">
        <f t="shared" ref="W4" si="14">+W2-W3</f>
        <v>3320.6193800983992</v>
      </c>
      <c r="X4" s="2">
        <f t="shared" ref="X4" si="15">+X2-X3</f>
        <v>4233.7897096254583</v>
      </c>
      <c r="Y4" s="2">
        <f t="shared" ref="Y4" si="16">+Y2-Y3</f>
        <v>5398.0818797724596</v>
      </c>
      <c r="Z4" s="2">
        <f t="shared" ref="Z4" si="17">+Z2-Z3</f>
        <v>6882.5543967098856</v>
      </c>
      <c r="AB4" s="1" t="s">
        <v>80</v>
      </c>
      <c r="AC4" s="7">
        <v>0.05</v>
      </c>
    </row>
    <row r="5" spans="1:50" x14ac:dyDescent="0.25">
      <c r="A5" s="1" t="s">
        <v>23</v>
      </c>
      <c r="B5" s="2">
        <v>100.057</v>
      </c>
      <c r="C5" s="2">
        <v>117.622</v>
      </c>
      <c r="D5" s="2">
        <v>116.033</v>
      </c>
      <c r="E5" s="2">
        <f t="shared" ref="E5:E7" si="18">+Q5-SUM(B5:D5)</f>
        <v>132.05000000000001</v>
      </c>
      <c r="F5" s="2">
        <v>137.001</v>
      </c>
      <c r="G5" s="2">
        <v>146.68799999999999</v>
      </c>
      <c r="H5" s="2">
        <v>150.214</v>
      </c>
      <c r="I5" s="2">
        <f t="shared" ref="I5:I7" si="19">+R5-SUM(F5:H5)</f>
        <v>165.214</v>
      </c>
      <c r="J5" s="2">
        <v>194.102</v>
      </c>
      <c r="K5" s="2">
        <v>174.501</v>
      </c>
      <c r="L5" s="2"/>
      <c r="M5" s="2"/>
      <c r="P5" s="2">
        <v>328.065</v>
      </c>
      <c r="Q5" s="2">
        <v>465.762</v>
      </c>
      <c r="R5" s="2">
        <v>599.11699999999996</v>
      </c>
      <c r="S5" s="2">
        <f>+S2*0.43</f>
        <v>710.94044624999981</v>
      </c>
      <c r="T5" s="2">
        <f>+T2*0.35</f>
        <v>737.80738171874975</v>
      </c>
      <c r="U5" s="2">
        <f t="shared" ref="U5:Z5" si="20">+U2*0.35</f>
        <v>940.70441169140588</v>
      </c>
      <c r="V5" s="2">
        <f>+V2*0.33</f>
        <v>1130.8610891975973</v>
      </c>
      <c r="W5" s="2">
        <f>+W2*0.3</f>
        <v>1310.7708079335785</v>
      </c>
      <c r="X5" s="2">
        <f t="shared" ref="X5:Z5" si="21">+X2*0.3</f>
        <v>1671.2327801153126</v>
      </c>
      <c r="Y5" s="2">
        <f t="shared" si="21"/>
        <v>2130.8217946470236</v>
      </c>
      <c r="Z5" s="2">
        <f t="shared" si="21"/>
        <v>2716.7977881749543</v>
      </c>
      <c r="AB5" s="1" t="s">
        <v>81</v>
      </c>
      <c r="AC5" s="6">
        <f>+NPV(AC2,S14:AX14)+R65</f>
        <v>27192.337153516488</v>
      </c>
    </row>
    <row r="6" spans="1:50" x14ac:dyDescent="0.25">
      <c r="A6" s="1" t="s">
        <v>24</v>
      </c>
      <c r="B6" s="2">
        <v>67.054000000000002</v>
      </c>
      <c r="C6" s="2">
        <v>75.114000000000004</v>
      </c>
      <c r="D6" s="2">
        <v>76.432000000000002</v>
      </c>
      <c r="E6" s="2">
        <f t="shared" si="18"/>
        <v>79.702999999999975</v>
      </c>
      <c r="F6" s="2">
        <v>81.539000000000001</v>
      </c>
      <c r="G6" s="2">
        <v>89.61</v>
      </c>
      <c r="H6" s="2">
        <v>90.593000000000004</v>
      </c>
      <c r="I6" s="2">
        <f t="shared" si="19"/>
        <v>96.400999999999954</v>
      </c>
      <c r="J6" s="2">
        <v>87.703000000000003</v>
      </c>
      <c r="K6" s="2">
        <v>102.547</v>
      </c>
      <c r="L6" s="2"/>
      <c r="M6" s="2"/>
      <c r="P6" s="2">
        <v>189.40799999999999</v>
      </c>
      <c r="Q6" s="2">
        <v>298.303</v>
      </c>
      <c r="R6" s="2">
        <v>358.14299999999997</v>
      </c>
      <c r="S6" s="2">
        <f>+S2*0.255</f>
        <v>421.60421812499993</v>
      </c>
      <c r="T6" s="2">
        <f t="shared" ref="T6:U6" si="22">+T2*0.2</f>
        <v>421.60421812499993</v>
      </c>
      <c r="U6" s="2">
        <f>+U2*0.2</f>
        <v>537.54537810937484</v>
      </c>
      <c r="V6" s="2">
        <f t="shared" ref="V6:Y6" si="23">+V2*0.17</f>
        <v>582.56480352603501</v>
      </c>
      <c r="W6" s="2">
        <f>+W2*0.15</f>
        <v>655.38540396678923</v>
      </c>
      <c r="X6" s="2">
        <f t="shared" ref="X6:Z6" si="24">+X2*0.15</f>
        <v>835.6163900576563</v>
      </c>
      <c r="Y6" s="2">
        <f>+Y2*0.12</f>
        <v>852.32871785880934</v>
      </c>
      <c r="Z6" s="2">
        <f t="shared" ref="Z6" si="25">+Z2*0.12</f>
        <v>1086.7191152699818</v>
      </c>
      <c r="AB6" s="1" t="s">
        <v>82</v>
      </c>
      <c r="AC6" s="6">
        <f>+AC5/main!L4</f>
        <v>79.579098610826065</v>
      </c>
    </row>
    <row r="7" spans="1:50" x14ac:dyDescent="0.25">
      <c r="A7" s="1" t="s">
        <v>25</v>
      </c>
      <c r="B7" s="2">
        <v>38.029000000000003</v>
      </c>
      <c r="C7" s="2">
        <v>50.518000000000001</v>
      </c>
      <c r="D7" s="2">
        <v>45.372</v>
      </c>
      <c r="E7" s="2">
        <f t="shared" si="18"/>
        <v>45.850000000000023</v>
      </c>
      <c r="F7" s="2">
        <v>48.475000000000001</v>
      </c>
      <c r="G7" s="2">
        <v>53.146999999999998</v>
      </c>
      <c r="H7" s="2">
        <v>55.939</v>
      </c>
      <c r="I7" s="2">
        <f t="shared" si="19"/>
        <v>60.403999999999996</v>
      </c>
      <c r="J7" s="2">
        <v>66.308999999999997</v>
      </c>
      <c r="K7" s="2">
        <v>69.635000000000005</v>
      </c>
      <c r="L7" s="2"/>
      <c r="M7" s="2"/>
      <c r="P7" s="2">
        <v>119.503</v>
      </c>
      <c r="Q7" s="2">
        <v>179.76900000000001</v>
      </c>
      <c r="R7" s="2">
        <v>217.965</v>
      </c>
      <c r="S7" s="2">
        <f>+S2*0.17</f>
        <v>281.06947874999997</v>
      </c>
      <c r="T7" s="2">
        <f>+T2*0.15</f>
        <v>316.20316359374993</v>
      </c>
      <c r="U7" s="2">
        <f>+U2*0.13</f>
        <v>349.40449577109365</v>
      </c>
      <c r="V7" s="2">
        <f>+V2*0.11</f>
        <v>376.95369639919909</v>
      </c>
      <c r="W7" s="2">
        <f>+W2*0.1</f>
        <v>436.92360264452623</v>
      </c>
      <c r="X7" s="2">
        <f t="shared" ref="X7:Z7" si="26">+X2*0.1</f>
        <v>557.07759337177083</v>
      </c>
      <c r="Y7" s="2">
        <f t="shared" si="26"/>
        <v>710.2739315490079</v>
      </c>
      <c r="Z7" s="2">
        <f t="shared" si="26"/>
        <v>905.5992627249849</v>
      </c>
    </row>
    <row r="8" spans="1:50" x14ac:dyDescent="0.25">
      <c r="A8" s="1" t="s">
        <v>26</v>
      </c>
      <c r="B8" s="2">
        <f t="shared" ref="B8:J8" si="27">+SUM(B5:B7)</f>
        <v>205.14</v>
      </c>
      <c r="C8" s="2">
        <f t="shared" si="27"/>
        <v>243.25399999999999</v>
      </c>
      <c r="D8" s="2">
        <f t="shared" si="27"/>
        <v>237.83699999999999</v>
      </c>
      <c r="E8" s="2">
        <f t="shared" si="27"/>
        <v>257.60300000000001</v>
      </c>
      <c r="F8" s="2">
        <f t="shared" si="27"/>
        <v>267.01500000000004</v>
      </c>
      <c r="G8" s="2">
        <f t="shared" si="27"/>
        <v>289.44499999999999</v>
      </c>
      <c r="H8" s="2">
        <f t="shared" si="27"/>
        <v>296.74600000000004</v>
      </c>
      <c r="I8" s="2">
        <f t="shared" si="27"/>
        <v>322.01899999999995</v>
      </c>
      <c r="J8" s="2">
        <f t="shared" si="27"/>
        <v>348.11400000000003</v>
      </c>
      <c r="K8" s="2">
        <f>+SUM(K5:K7)</f>
        <v>346.68299999999999</v>
      </c>
      <c r="L8" s="2">
        <f t="shared" ref="L8:M8" si="28">+SUM(L5:L7)</f>
        <v>0</v>
      </c>
      <c r="M8" s="2">
        <f t="shared" si="28"/>
        <v>0</v>
      </c>
      <c r="P8" s="2">
        <f t="shared" ref="P8" si="29">+SUM(P5:P7)</f>
        <v>636.976</v>
      </c>
      <c r="Q8" s="2">
        <f t="shared" ref="Q8" si="30">+SUM(Q5:Q7)</f>
        <v>943.83400000000006</v>
      </c>
      <c r="R8" s="2">
        <f t="shared" ref="R8" si="31">+SUM(R5:R7)</f>
        <v>1175.2249999999999</v>
      </c>
      <c r="S8" s="2">
        <f t="shared" ref="S8" si="32">+SUM(S5:S7)</f>
        <v>1413.6141431249996</v>
      </c>
      <c r="T8" s="2">
        <f t="shared" ref="T8" si="33">+SUM(T5:T7)</f>
        <v>1475.6147634374995</v>
      </c>
      <c r="U8" s="2">
        <f t="shared" ref="U8" si="34">+SUM(U5:U7)</f>
        <v>1827.6542855718744</v>
      </c>
      <c r="V8" s="2">
        <f t="shared" ref="V8" si="35">+SUM(V5:V7)</f>
        <v>2090.3795891228315</v>
      </c>
      <c r="W8" s="2">
        <f t="shared" ref="W8" si="36">+SUM(W5:W7)</f>
        <v>2403.0798145448939</v>
      </c>
      <c r="X8" s="2">
        <f t="shared" ref="X8" si="37">+SUM(X5:X7)</f>
        <v>3063.92676354474</v>
      </c>
      <c r="Y8" s="2">
        <f t="shared" ref="Y8" si="38">+SUM(Y5:Y7)</f>
        <v>3693.4244440548409</v>
      </c>
      <c r="Z8" s="2">
        <f t="shared" ref="Z8" si="39">+SUM(Z5:Z7)</f>
        <v>4709.1161661699216</v>
      </c>
    </row>
    <row r="9" spans="1:50" x14ac:dyDescent="0.25">
      <c r="A9" s="9" t="s">
        <v>27</v>
      </c>
      <c r="B9" s="10">
        <f t="shared" ref="B9:J9" si="40">+B4-B8</f>
        <v>-40.024000000000001</v>
      </c>
      <c r="C9" s="10">
        <f t="shared" si="40"/>
        <v>-64.540999999999997</v>
      </c>
      <c r="D9" s="10">
        <f t="shared" si="40"/>
        <v>-45.676999999999992</v>
      </c>
      <c r="E9" s="10">
        <f t="shared" si="40"/>
        <v>-50.960999999999956</v>
      </c>
      <c r="F9" s="10">
        <f t="shared" si="40"/>
        <v>-47.272000000000048</v>
      </c>
      <c r="G9" s="10">
        <f t="shared" si="40"/>
        <v>-56.171999999999969</v>
      </c>
      <c r="H9" s="10">
        <f t="shared" si="40"/>
        <v>-39.212000000000046</v>
      </c>
      <c r="I9" s="10">
        <f t="shared" si="40"/>
        <v>-42.829000000000178</v>
      </c>
      <c r="J9" s="10">
        <f t="shared" si="40"/>
        <v>-54.550000000000068</v>
      </c>
      <c r="K9" s="10">
        <f>+K4-K8</f>
        <v>-34.697999999999979</v>
      </c>
      <c r="L9" s="10">
        <f t="shared" ref="L9:M9" si="41">+L4-L8</f>
        <v>0</v>
      </c>
      <c r="M9" s="10">
        <f t="shared" si="41"/>
        <v>0</v>
      </c>
      <c r="N9" s="9"/>
      <c r="O9" s="9"/>
      <c r="P9" s="10">
        <f t="shared" ref="P9" si="42">+P4-P8</f>
        <v>-127.68399999999997</v>
      </c>
      <c r="Q9" s="10">
        <f t="shared" ref="Q9" si="43">+Q4-Q8</f>
        <v>-201.20300000000009</v>
      </c>
      <c r="R9" s="10">
        <f t="shared" ref="R9" si="44">+R4-R8</f>
        <v>-185.48500000000001</v>
      </c>
      <c r="S9" s="10">
        <f t="shared" ref="S9" si="45">+S4-S8</f>
        <v>-157.06823812499988</v>
      </c>
      <c r="T9" s="10">
        <f t="shared" ref="T9" si="46">+T4-T8</f>
        <v>126.48126543750004</v>
      </c>
      <c r="U9" s="10">
        <f t="shared" ref="U9" si="47">+U4-U8</f>
        <v>215.0181512437498</v>
      </c>
      <c r="V9" s="10">
        <f t="shared" ref="V9" si="48">+V4-V8</f>
        <v>514.02776781708917</v>
      </c>
      <c r="W9" s="10">
        <f t="shared" ref="W9" si="49">+W4-W8</f>
        <v>917.53956555350533</v>
      </c>
      <c r="X9" s="10">
        <f t="shared" ref="X9" si="50">+X4-X8</f>
        <v>1169.8629460807183</v>
      </c>
      <c r="Y9" s="10">
        <f t="shared" ref="Y9" si="51">+Y4-Y8</f>
        <v>1704.6574357176187</v>
      </c>
      <c r="Z9" s="10">
        <f t="shared" ref="Z9" si="52">+Z4-Z8</f>
        <v>2173.438230539964</v>
      </c>
    </row>
    <row r="10" spans="1:50" x14ac:dyDescent="0.25">
      <c r="A10" s="1" t="s">
        <v>28</v>
      </c>
      <c r="B10" s="2">
        <f>1.061-1.557</f>
        <v>-0.496</v>
      </c>
      <c r="C10" s="2">
        <f>1.641-1.04</f>
        <v>0.60099999999999998</v>
      </c>
      <c r="D10" s="2">
        <f>3.852-1.512</f>
        <v>2.34</v>
      </c>
      <c r="E10" s="2">
        <f t="shared" ref="E10:E11" si="53">+Q10-SUM(B10:D10)</f>
        <v>7.4480000000000004</v>
      </c>
      <c r="F10" s="2">
        <f>13.487-2.126</f>
        <v>11.361000000000001</v>
      </c>
      <c r="G10" s="2">
        <f>16.536-1.539</f>
        <v>14.997000000000002</v>
      </c>
      <c r="H10" s="2">
        <f>17.954-1.138</f>
        <v>16.816000000000003</v>
      </c>
      <c r="I10" s="2">
        <f t="shared" ref="I10:I11" si="54">+R10-SUM(F10:H10)</f>
        <v>19.120999999999995</v>
      </c>
      <c r="J10" s="2">
        <f>21.252-1.1</f>
        <v>20.151999999999997</v>
      </c>
      <c r="K10" s="2">
        <f>21.715-1.218</f>
        <v>20.497</v>
      </c>
      <c r="L10" s="2"/>
      <c r="M10" s="2"/>
      <c r="P10" s="2">
        <f>1.97-49.234</f>
        <v>-47.264000000000003</v>
      </c>
      <c r="Q10" s="2">
        <f>14.877-4.984</f>
        <v>9.8930000000000007</v>
      </c>
      <c r="R10" s="2">
        <f>68.167-5.872</f>
        <v>62.295000000000002</v>
      </c>
      <c r="S10" s="2">
        <f>+R65*$AC$4</f>
        <v>23.602750000000004</v>
      </c>
      <c r="T10" s="2">
        <f t="shared" ref="T10:Z10" si="55">+S65*$AC$4</f>
        <v>16.929475593750009</v>
      </c>
      <c r="U10" s="2">
        <f t="shared" si="55"/>
        <v>23.024432087578138</v>
      </c>
      <c r="V10" s="2">
        <f t="shared" si="55"/>
        <v>33.14124187915958</v>
      </c>
      <c r="W10" s="2">
        <f t="shared" si="55"/>
        <v>56.395924791250152</v>
      </c>
      <c r="X10" s="2">
        <f t="shared" si="55"/>
        <v>97.788183130902269</v>
      </c>
      <c r="Y10" s="2">
        <f t="shared" si="55"/>
        <v>151.66335612239615</v>
      </c>
      <c r="Z10" s="2">
        <f t="shared" si="55"/>
        <v>230.55698977559678</v>
      </c>
    </row>
    <row r="11" spans="1:50" x14ac:dyDescent="0.25">
      <c r="A11" s="1" t="s">
        <v>29</v>
      </c>
      <c r="B11" s="2">
        <v>-0.48699999999999999</v>
      </c>
      <c r="C11" s="2">
        <v>0.23300000000000001</v>
      </c>
      <c r="D11" s="2">
        <v>2.4329999999999998</v>
      </c>
      <c r="E11" s="2">
        <f t="shared" si="53"/>
        <v>-1.6019999999999999</v>
      </c>
      <c r="F11" s="2">
        <v>-0.85699999999999998</v>
      </c>
      <c r="G11" s="2">
        <f>-50.3-1.527</f>
        <v>-51.826999999999998</v>
      </c>
      <c r="H11" s="2">
        <v>0.115</v>
      </c>
      <c r="I11" s="2">
        <f t="shared" si="54"/>
        <v>-2.1030000000000015</v>
      </c>
      <c r="J11" s="2">
        <v>1.1240000000000001</v>
      </c>
      <c r="K11" s="2">
        <v>0.26900000000000002</v>
      </c>
      <c r="L11" s="2"/>
      <c r="M11" s="2"/>
      <c r="P11" s="2">
        <f>-72.234-0.794</f>
        <v>-73.027999999999992</v>
      </c>
      <c r="Q11" s="2">
        <v>0.57699999999999996</v>
      </c>
      <c r="R11" s="2">
        <f>-50.3-4.372</f>
        <v>-54.671999999999997</v>
      </c>
      <c r="S11" s="2"/>
      <c r="T11" s="2"/>
      <c r="U11" s="2"/>
      <c r="V11" s="2"/>
      <c r="W11" s="2"/>
      <c r="X11" s="2"/>
      <c r="Y11" s="2"/>
      <c r="Z11" s="2"/>
    </row>
    <row r="12" spans="1:50" x14ac:dyDescent="0.25">
      <c r="A12" s="1" t="s">
        <v>30</v>
      </c>
      <c r="B12" s="2">
        <f t="shared" ref="B12:J12" si="56">+B9+B10+B11</f>
        <v>-41.007000000000005</v>
      </c>
      <c r="C12" s="2">
        <f t="shared" si="56"/>
        <v>-63.707000000000001</v>
      </c>
      <c r="D12" s="2">
        <f t="shared" si="56"/>
        <v>-40.903999999999989</v>
      </c>
      <c r="E12" s="2">
        <f t="shared" si="56"/>
        <v>-45.114999999999952</v>
      </c>
      <c r="F12" s="2">
        <f t="shared" si="56"/>
        <v>-36.768000000000043</v>
      </c>
      <c r="G12" s="2">
        <f t="shared" si="56"/>
        <v>-93.001999999999967</v>
      </c>
      <c r="H12" s="2">
        <f t="shared" si="56"/>
        <v>-22.281000000000045</v>
      </c>
      <c r="I12" s="2">
        <f t="shared" si="56"/>
        <v>-25.811000000000185</v>
      </c>
      <c r="J12" s="2">
        <f t="shared" si="56"/>
        <v>-33.274000000000065</v>
      </c>
      <c r="K12" s="2">
        <f>+K9+K10+K11</f>
        <v>-13.931999999999979</v>
      </c>
      <c r="L12" s="2">
        <f t="shared" ref="L12:M12" si="57">+L9+L10+L11</f>
        <v>0</v>
      </c>
      <c r="M12" s="2">
        <f t="shared" si="57"/>
        <v>0</v>
      </c>
      <c r="P12" s="2">
        <f t="shared" ref="P12" si="58">+P9+P10+P11</f>
        <v>-247.97599999999997</v>
      </c>
      <c r="Q12" s="2">
        <f t="shared" ref="Q12" si="59">+Q9+Q10+Q11</f>
        <v>-190.73300000000009</v>
      </c>
      <c r="R12" s="2">
        <f t="shared" ref="R12" si="60">+R9+R10+R11</f>
        <v>-177.86200000000002</v>
      </c>
      <c r="S12" s="2">
        <f t="shared" ref="S12" si="61">+S9+S10+S11</f>
        <v>-133.46548812499987</v>
      </c>
      <c r="T12" s="2">
        <f t="shared" ref="T12" si="62">+T9+T10+T11</f>
        <v>143.41074103125004</v>
      </c>
      <c r="U12" s="2">
        <f t="shared" ref="U12" si="63">+U9+U10+U11</f>
        <v>238.04258333132793</v>
      </c>
      <c r="V12" s="2">
        <f t="shared" ref="V12" si="64">+V9+V10+V11</f>
        <v>547.16900969624874</v>
      </c>
      <c r="W12" s="2">
        <f t="shared" ref="W12" si="65">+W9+W10+W11</f>
        <v>973.93549034475552</v>
      </c>
      <c r="X12" s="2">
        <f t="shared" ref="X12" si="66">+X9+X10+X11</f>
        <v>1267.6511292116206</v>
      </c>
      <c r="Y12" s="2">
        <f t="shared" ref="Y12" si="67">+Y9+Y10+Y11</f>
        <v>1856.3207918400149</v>
      </c>
      <c r="Z12" s="2">
        <f t="shared" ref="Z12" si="68">+Z9+Z10+Z11</f>
        <v>2403.9952203155608</v>
      </c>
    </row>
    <row r="13" spans="1:50" x14ac:dyDescent="0.25">
      <c r="A13" s="1" t="s">
        <v>31</v>
      </c>
      <c r="B13" s="2">
        <v>0.374</v>
      </c>
      <c r="C13" s="2">
        <v>-0.17</v>
      </c>
      <c r="D13" s="2">
        <v>1.3720000000000001</v>
      </c>
      <c r="E13" s="2">
        <f>+Q13-SUM(B13:D13)</f>
        <v>1.0720000000000001</v>
      </c>
      <c r="F13" s="2">
        <v>1.3140000000000001</v>
      </c>
      <c r="G13" s="2">
        <v>1.4650000000000001</v>
      </c>
      <c r="H13" s="2">
        <v>1.254</v>
      </c>
      <c r="I13" s="2">
        <f>+R13-SUM(F13:H13)</f>
        <v>2.0540000000000003</v>
      </c>
      <c r="J13" s="2">
        <v>2.2690000000000001</v>
      </c>
      <c r="K13" s="2">
        <v>1.1459999999999999</v>
      </c>
      <c r="L13" s="2"/>
      <c r="M13" s="2"/>
      <c r="P13" s="2">
        <v>12.333</v>
      </c>
      <c r="Q13" s="2">
        <v>2.6480000000000001</v>
      </c>
      <c r="R13" s="2">
        <v>6.0869999999999997</v>
      </c>
      <c r="S13" s="2">
        <f>IF(S12&gt;0,S12*0.15,0)</f>
        <v>0</v>
      </c>
      <c r="T13" s="2">
        <f t="shared" ref="T13:Z13" si="69">IF(T12&gt;0,T12*0.15,0)</f>
        <v>21.511611154687504</v>
      </c>
      <c r="U13" s="2">
        <f t="shared" si="69"/>
        <v>35.70638749969919</v>
      </c>
      <c r="V13" s="2">
        <f t="shared" si="69"/>
        <v>82.07535145443731</v>
      </c>
      <c r="W13" s="2">
        <f t="shared" si="69"/>
        <v>146.09032355171331</v>
      </c>
      <c r="X13" s="2">
        <f t="shared" si="69"/>
        <v>190.1476693817431</v>
      </c>
      <c r="Y13" s="2">
        <f t="shared" si="69"/>
        <v>278.44811877600222</v>
      </c>
      <c r="Z13" s="2">
        <f t="shared" si="69"/>
        <v>360.5992830473341</v>
      </c>
    </row>
    <row r="14" spans="1:50" x14ac:dyDescent="0.25">
      <c r="A14" s="9" t="s">
        <v>32</v>
      </c>
      <c r="B14" s="10">
        <f t="shared" ref="B14:J14" si="70">+B12-B13</f>
        <v>-41.381000000000007</v>
      </c>
      <c r="C14" s="10">
        <f t="shared" si="70"/>
        <v>-63.536999999999999</v>
      </c>
      <c r="D14" s="10">
        <f t="shared" si="70"/>
        <v>-42.275999999999989</v>
      </c>
      <c r="E14" s="10">
        <f t="shared" si="70"/>
        <v>-46.186999999999955</v>
      </c>
      <c r="F14" s="10">
        <f t="shared" si="70"/>
        <v>-38.082000000000043</v>
      </c>
      <c r="G14" s="10">
        <f t="shared" si="70"/>
        <v>-94.46699999999997</v>
      </c>
      <c r="H14" s="10">
        <f t="shared" si="70"/>
        <v>-23.535000000000046</v>
      </c>
      <c r="I14" s="10">
        <f t="shared" si="70"/>
        <v>-27.865000000000187</v>
      </c>
      <c r="J14" s="10">
        <f t="shared" si="70"/>
        <v>-35.543000000000063</v>
      </c>
      <c r="K14" s="10">
        <f>+K12-K13</f>
        <v>-15.077999999999978</v>
      </c>
      <c r="L14" s="10">
        <f t="shared" ref="L14:M14" si="71">+L12-L13</f>
        <v>0</v>
      </c>
      <c r="M14" s="10">
        <f t="shared" si="71"/>
        <v>0</v>
      </c>
      <c r="N14" s="9"/>
      <c r="O14" s="9"/>
      <c r="P14" s="10">
        <f t="shared" ref="P14" si="72">+P12-P13</f>
        <v>-260.30899999999997</v>
      </c>
      <c r="Q14" s="10">
        <f t="shared" ref="Q14" si="73">+Q12-Q13</f>
        <v>-193.38100000000009</v>
      </c>
      <c r="R14" s="10">
        <f t="shared" ref="R14" si="74">+R12-R13</f>
        <v>-183.94900000000001</v>
      </c>
      <c r="S14" s="10">
        <f t="shared" ref="S14" si="75">+S12-S13</f>
        <v>-133.46548812499987</v>
      </c>
      <c r="T14" s="10">
        <f t="shared" ref="T14" si="76">+T12-T13</f>
        <v>121.89912987656254</v>
      </c>
      <c r="U14" s="10">
        <f t="shared" ref="U14" si="77">+U12-U13</f>
        <v>202.33619583162874</v>
      </c>
      <c r="V14" s="10">
        <f t="shared" ref="V14" si="78">+V12-V13</f>
        <v>465.09365824181145</v>
      </c>
      <c r="W14" s="10">
        <f t="shared" ref="W14" si="79">+W12-W13</f>
        <v>827.84516679304215</v>
      </c>
      <c r="X14" s="10">
        <f t="shared" ref="X14" si="80">+X12-X13</f>
        <v>1077.5034598298776</v>
      </c>
      <c r="Y14" s="10">
        <f t="shared" ref="Y14" si="81">+Y12-Y13</f>
        <v>1577.8726730640126</v>
      </c>
      <c r="Z14" s="10">
        <f t="shared" ref="Z14" si="82">+Z12-Z13</f>
        <v>2043.3959372682266</v>
      </c>
      <c r="AA14" s="10">
        <f>+Z14*(1+$AC$3)</f>
        <v>2145.5657341316378</v>
      </c>
      <c r="AB14" s="10">
        <f t="shared" ref="AB14:AX14" si="83">+AA14*(1+$AC$3)</f>
        <v>2252.8440208382199</v>
      </c>
      <c r="AC14" s="10">
        <f t="shared" si="83"/>
        <v>2365.4862218801309</v>
      </c>
      <c r="AD14" s="10">
        <f t="shared" si="83"/>
        <v>2483.7605329741377</v>
      </c>
      <c r="AE14" s="10">
        <f t="shared" si="83"/>
        <v>2607.9485596228446</v>
      </c>
      <c r="AF14" s="10">
        <f t="shared" si="83"/>
        <v>2738.3459876039869</v>
      </c>
      <c r="AG14" s="10">
        <f t="shared" si="83"/>
        <v>2875.2632869841864</v>
      </c>
      <c r="AH14" s="10">
        <f t="shared" si="83"/>
        <v>3019.0264513333959</v>
      </c>
      <c r="AI14" s="10">
        <f t="shared" si="83"/>
        <v>3169.977773900066</v>
      </c>
      <c r="AJ14" s="10">
        <f t="shared" si="83"/>
        <v>3328.4766625950697</v>
      </c>
      <c r="AK14" s="10">
        <f t="shared" si="83"/>
        <v>3494.9004957248235</v>
      </c>
      <c r="AL14" s="10">
        <f t="shared" si="83"/>
        <v>3669.6455205110647</v>
      </c>
      <c r="AM14" s="10">
        <f t="shared" si="83"/>
        <v>3853.127796536618</v>
      </c>
      <c r="AN14" s="10">
        <f t="shared" si="83"/>
        <v>4045.784186363449</v>
      </c>
      <c r="AO14" s="10">
        <f t="shared" si="83"/>
        <v>4248.0733956816212</v>
      </c>
      <c r="AP14" s="10">
        <f t="shared" si="83"/>
        <v>4460.4770654657023</v>
      </c>
      <c r="AQ14" s="10">
        <f t="shared" si="83"/>
        <v>4683.5009187389878</v>
      </c>
      <c r="AR14" s="10">
        <f t="shared" si="83"/>
        <v>4917.6759646759374</v>
      </c>
      <c r="AS14" s="10">
        <f t="shared" si="83"/>
        <v>5163.5597629097347</v>
      </c>
      <c r="AT14" s="10">
        <f t="shared" si="83"/>
        <v>5421.7377510552215</v>
      </c>
      <c r="AU14" s="10">
        <f t="shared" si="83"/>
        <v>5692.8246386079827</v>
      </c>
      <c r="AV14" s="10">
        <f t="shared" si="83"/>
        <v>5977.4658705383818</v>
      </c>
      <c r="AW14" s="10">
        <f t="shared" si="83"/>
        <v>6276.3391640653008</v>
      </c>
      <c r="AX14" s="10">
        <f t="shared" si="83"/>
        <v>6590.1561222685659</v>
      </c>
    </row>
    <row r="15" spans="1:50" x14ac:dyDescent="0.25">
      <c r="A15" s="1" t="s">
        <v>33</v>
      </c>
      <c r="B15" s="1">
        <v>323.334</v>
      </c>
      <c r="C15" s="1">
        <v>325.197</v>
      </c>
      <c r="D15" s="1">
        <v>326.58999999999997</v>
      </c>
      <c r="F15" s="1">
        <v>330.38900000000001</v>
      </c>
      <c r="G15" s="1">
        <v>332.29700000000003</v>
      </c>
      <c r="H15" s="1">
        <v>334.666</v>
      </c>
      <c r="J15" s="1">
        <v>338.58300000000003</v>
      </c>
      <c r="K15" s="1">
        <v>340.64800000000002</v>
      </c>
      <c r="P15" s="1">
        <v>312.32100000000003</v>
      </c>
      <c r="Q15" s="1">
        <v>326.33199999999999</v>
      </c>
      <c r="R15" s="1">
        <v>333.65600000000001</v>
      </c>
    </row>
    <row r="16" spans="1:50" x14ac:dyDescent="0.25">
      <c r="A16" s="1" t="s">
        <v>34</v>
      </c>
      <c r="B16" s="6">
        <f t="shared" ref="B16:J16" si="84">+B14/B15</f>
        <v>-0.12798221034595808</v>
      </c>
      <c r="C16" s="6">
        <f t="shared" si="84"/>
        <v>-0.19538003118109945</v>
      </c>
      <c r="D16" s="6">
        <f t="shared" si="84"/>
        <v>-0.12944670688018614</v>
      </c>
      <c r="E16" s="6" t="e">
        <f t="shared" si="84"/>
        <v>#DIV/0!</v>
      </c>
      <c r="F16" s="6">
        <f t="shared" si="84"/>
        <v>-0.11526412804300398</v>
      </c>
      <c r="G16" s="6">
        <f t="shared" si="84"/>
        <v>-0.28428484157244865</v>
      </c>
      <c r="H16" s="6">
        <f t="shared" si="84"/>
        <v>-7.0323845266624177E-2</v>
      </c>
      <c r="I16" s="6" t="e">
        <f t="shared" si="84"/>
        <v>#DIV/0!</v>
      </c>
      <c r="J16" s="6">
        <f t="shared" si="84"/>
        <v>-0.10497573711615781</v>
      </c>
      <c r="K16" s="6">
        <f>+K14/K15</f>
        <v>-4.4262699325990397E-2</v>
      </c>
      <c r="L16" s="6"/>
      <c r="M16" s="6"/>
      <c r="P16" s="6">
        <f>+P14/P15</f>
        <v>-0.83346620944476979</v>
      </c>
      <c r="Q16" s="6">
        <f t="shared" ref="Q16:R16" si="85">+Q14/Q15</f>
        <v>-0.59258975521861201</v>
      </c>
      <c r="R16" s="6">
        <f t="shared" si="85"/>
        <v>-0.55131332869782057</v>
      </c>
    </row>
    <row r="18" spans="1:26" x14ac:dyDescent="0.25">
      <c r="A18" s="1" t="s">
        <v>71</v>
      </c>
      <c r="B18" s="8">
        <f t="shared" ref="B18:D18" si="86">+B5/B$2</f>
        <v>0.47159548845956251</v>
      </c>
      <c r="C18" s="8">
        <f t="shared" si="86"/>
        <v>0.50154999424348767</v>
      </c>
      <c r="D18" s="8">
        <f t="shared" si="86"/>
        <v>0.45708016718073563</v>
      </c>
      <c r="E18" s="8">
        <f t="shared" ref="E18" si="87">+E5/E$2</f>
        <v>0.48070622497269744</v>
      </c>
      <c r="F18" s="8">
        <f t="shared" ref="F18:I18" si="88">+F5/F$2</f>
        <v>0.47213233393641768</v>
      </c>
      <c r="G18" s="8">
        <f t="shared" si="88"/>
        <v>0.47549709232594467</v>
      </c>
      <c r="H18" s="8">
        <f t="shared" si="88"/>
        <v>0.44759433020562983</v>
      </c>
      <c r="I18" s="8">
        <f t="shared" si="88"/>
        <v>0.45579670761684354</v>
      </c>
      <c r="J18" s="8">
        <f t="shared" ref="J18:K18" si="89">+J5/J$2</f>
        <v>0.5126808627529702</v>
      </c>
      <c r="K18" s="8">
        <f t="shared" si="89"/>
        <v>0.43516892936587898</v>
      </c>
      <c r="P18" s="8">
        <f t="shared" ref="P18:Q18" si="90">+P5/P$2</f>
        <v>0.4997745366575973</v>
      </c>
      <c r="Q18" s="8">
        <f t="shared" si="90"/>
        <v>0.47758656578220154</v>
      </c>
      <c r="R18" s="8">
        <f>+R5/R$2</f>
        <v>0.46201604787371459</v>
      </c>
      <c r="S18" s="8">
        <f t="shared" ref="S18:Z18" si="91">+S5/S$2</f>
        <v>0.43</v>
      </c>
      <c r="T18" s="8">
        <f t="shared" si="91"/>
        <v>0.35</v>
      </c>
      <c r="U18" s="8">
        <f t="shared" si="91"/>
        <v>0.35</v>
      </c>
      <c r="V18" s="8">
        <f t="shared" si="91"/>
        <v>0.33</v>
      </c>
      <c r="W18" s="8">
        <f t="shared" si="91"/>
        <v>0.3</v>
      </c>
      <c r="X18" s="8">
        <f t="shared" si="91"/>
        <v>0.3</v>
      </c>
      <c r="Y18" s="8">
        <f t="shared" si="91"/>
        <v>0.3</v>
      </c>
      <c r="Z18" s="8">
        <f t="shared" si="91"/>
        <v>0.3</v>
      </c>
    </row>
    <row r="19" spans="1:26" x14ac:dyDescent="0.25">
      <c r="A19" s="1" t="s">
        <v>72</v>
      </c>
      <c r="B19" s="8">
        <f t="shared" ref="B19:D19" si="92">+B6/B$2</f>
        <v>0.3160434940400722</v>
      </c>
      <c r="C19" s="8">
        <f t="shared" si="92"/>
        <v>0.32029234554424629</v>
      </c>
      <c r="D19" s="8">
        <f t="shared" si="92"/>
        <v>0.30108289312486952</v>
      </c>
      <c r="E19" s="8">
        <f t="shared" ref="E19" si="93">+E6/E$2</f>
        <v>0.29014561339643236</v>
      </c>
      <c r="F19" s="8">
        <f t="shared" ref="F19:I19" si="94">+F6/F$2</f>
        <v>0.28099939691565434</v>
      </c>
      <c r="G19" s="8">
        <f t="shared" si="94"/>
        <v>0.2904756656531407</v>
      </c>
      <c r="H19" s="8">
        <f t="shared" si="94"/>
        <v>0.26994097192218186</v>
      </c>
      <c r="I19" s="8">
        <f t="shared" si="94"/>
        <v>0.26595360206139501</v>
      </c>
      <c r="J19" s="8">
        <f t="shared" ref="J19:K19" si="95">+J6/J$2</f>
        <v>0.23164959508930225</v>
      </c>
      <c r="K19" s="8">
        <f t="shared" si="95"/>
        <v>0.25573073048110206</v>
      </c>
      <c r="P19" s="8">
        <f t="shared" ref="P19:Q19" si="96">+P6/P$2</f>
        <v>0.28854432944459846</v>
      </c>
      <c r="Q19" s="8">
        <f t="shared" si="96"/>
        <v>0.30587618855236809</v>
      </c>
      <c r="R19" s="8">
        <f t="shared" ref="R19:Z19" si="97">+R6/R$2</f>
        <v>0.27618614299650279</v>
      </c>
      <c r="S19" s="8">
        <f t="shared" si="97"/>
        <v>0.255</v>
      </c>
      <c r="T19" s="8">
        <f t="shared" si="97"/>
        <v>0.2</v>
      </c>
      <c r="U19" s="8">
        <f t="shared" si="97"/>
        <v>0.2</v>
      </c>
      <c r="V19" s="8">
        <f t="shared" si="97"/>
        <v>0.17</v>
      </c>
      <c r="W19" s="8">
        <f t="shared" si="97"/>
        <v>0.15</v>
      </c>
      <c r="X19" s="8">
        <f t="shared" si="97"/>
        <v>0.15</v>
      </c>
      <c r="Y19" s="8">
        <f t="shared" si="97"/>
        <v>0.12</v>
      </c>
      <c r="Z19" s="8">
        <f t="shared" si="97"/>
        <v>0.12</v>
      </c>
    </row>
    <row r="20" spans="1:26" x14ac:dyDescent="0.25">
      <c r="A20" s="1" t="s">
        <v>73</v>
      </c>
      <c r="B20" s="8">
        <f t="shared" ref="B20:D20" si="98">+B7/B$2</f>
        <v>0.1792408810041147</v>
      </c>
      <c r="C20" s="8">
        <f t="shared" si="98"/>
        <v>0.21541295513758066</v>
      </c>
      <c r="D20" s="8">
        <f t="shared" si="98"/>
        <v>0.17873054514943451</v>
      </c>
      <c r="E20" s="8">
        <f t="shared" ref="E20" si="99">+E7/E$2</f>
        <v>0.16690935566072085</v>
      </c>
      <c r="F20" s="8">
        <f t="shared" ref="F20:I20" si="100">+F7/F$2</f>
        <v>0.16705436374601534</v>
      </c>
      <c r="G20" s="8">
        <f t="shared" si="100"/>
        <v>0.17227887738497344</v>
      </c>
      <c r="H20" s="8">
        <f t="shared" si="100"/>
        <v>0.16668206184092513</v>
      </c>
      <c r="I20" s="8">
        <f t="shared" si="100"/>
        <v>0.16664413625290722</v>
      </c>
      <c r="J20" s="8">
        <f t="shared" ref="J20:K20" si="101">+J7/J$2</f>
        <v>0.1751417055377415</v>
      </c>
      <c r="K20" s="8">
        <f t="shared" si="101"/>
        <v>0.17365509880397811</v>
      </c>
      <c r="P20" s="8">
        <f t="shared" ref="P20:Q20" si="102">+P7/P$2</f>
        <v>0.18205098518340224</v>
      </c>
      <c r="Q20" s="8">
        <f t="shared" si="102"/>
        <v>0.18433289822720744</v>
      </c>
      <c r="R20" s="8">
        <f>+R7/R$2</f>
        <v>0.16808624671774328</v>
      </c>
      <c r="S20" s="8">
        <f t="shared" ref="S20:Z20" si="103">+S7/S$2</f>
        <v>0.17</v>
      </c>
      <c r="T20" s="8">
        <f t="shared" si="103"/>
        <v>0.15</v>
      </c>
      <c r="U20" s="8">
        <f t="shared" si="103"/>
        <v>0.13</v>
      </c>
      <c r="V20" s="8">
        <f t="shared" si="103"/>
        <v>0.11</v>
      </c>
      <c r="W20" s="8">
        <f t="shared" si="103"/>
        <v>0.1</v>
      </c>
      <c r="X20" s="8">
        <f t="shared" si="103"/>
        <v>9.9999999999999992E-2</v>
      </c>
      <c r="Y20" s="8">
        <f t="shared" si="103"/>
        <v>0.1</v>
      </c>
      <c r="Z20" s="8">
        <f t="shared" si="103"/>
        <v>0.1</v>
      </c>
    </row>
    <row r="21" spans="1:26" x14ac:dyDescent="0.25">
      <c r="P21" s="8"/>
      <c r="Q21" s="8"/>
      <c r="R21" s="8"/>
    </row>
    <row r="22" spans="1:26" x14ac:dyDescent="0.25">
      <c r="A22" s="1" t="s">
        <v>35</v>
      </c>
      <c r="F22" s="8">
        <f t="shared" ref="F22" si="104">+F2/B2-1</f>
        <v>0.36767263523545135</v>
      </c>
      <c r="G22" s="8">
        <f t="shared" ref="G22" si="105">+G2/C2-1</f>
        <v>0.31544408294494652</v>
      </c>
      <c r="H22" s="8">
        <f t="shared" ref="H22" si="106">+H2/D2-1</f>
        <v>0.322015938106887</v>
      </c>
      <c r="I22" s="8">
        <f t="shared" ref="I22" si="107">+I2/E2-1</f>
        <v>0.31952311612668249</v>
      </c>
      <c r="J22" s="8">
        <f t="shared" ref="J22" si="108">+J2/F2-1</f>
        <v>0.30473679676057541</v>
      </c>
      <c r="K22" s="8">
        <f>+K2/G2-1</f>
        <v>0.29985024019916096</v>
      </c>
      <c r="Q22" s="8">
        <f t="shared" ref="Q22" si="109">+Q2/P2-1</f>
        <v>0.48568307775743169</v>
      </c>
      <c r="R22" s="8">
        <f>+R2/Q2-1</f>
        <v>0.32966620558405557</v>
      </c>
      <c r="S22" s="8">
        <f t="shared" ref="S22:Z22" si="110">+S2/R2-1</f>
        <v>0.27499999999999991</v>
      </c>
      <c r="T22" s="8">
        <f t="shared" si="110"/>
        <v>0.27499999999999991</v>
      </c>
      <c r="U22" s="8">
        <f t="shared" si="110"/>
        <v>0.27499999999999991</v>
      </c>
      <c r="V22" s="8">
        <f t="shared" si="110"/>
        <v>0.27499999999999991</v>
      </c>
      <c r="W22" s="8">
        <f t="shared" si="110"/>
        <v>0.27499999999999991</v>
      </c>
      <c r="X22" s="8">
        <f t="shared" si="110"/>
        <v>0.27499999999999991</v>
      </c>
      <c r="Y22" s="8">
        <f t="shared" si="110"/>
        <v>0.27499999999999991</v>
      </c>
      <c r="Z22" s="8">
        <f t="shared" si="110"/>
        <v>0.27499999999999991</v>
      </c>
    </row>
    <row r="24" spans="1:26" x14ac:dyDescent="0.25">
      <c r="A24" s="1" t="s">
        <v>39</v>
      </c>
      <c r="B24" s="8">
        <f t="shared" ref="B24:E24" si="111">+B4/B2</f>
        <v>0.77823601219793836</v>
      </c>
      <c r="C24" s="8">
        <f t="shared" si="111"/>
        <v>0.76204710106303597</v>
      </c>
      <c r="D24" s="8">
        <f t="shared" si="111"/>
        <v>0.75696159648936212</v>
      </c>
      <c r="E24" s="8">
        <f t="shared" si="111"/>
        <v>0.75224608663997095</v>
      </c>
      <c r="F24" s="8">
        <f t="shared" ref="F24" si="112">+F4/F2</f>
        <v>0.75727750495390711</v>
      </c>
      <c r="G24" s="8">
        <f t="shared" ref="G24:K24" si="113">+G4/G2</f>
        <v>0.75616705673368045</v>
      </c>
      <c r="H24" s="8">
        <f t="shared" si="113"/>
        <v>0.76737693048035915</v>
      </c>
      <c r="I24" s="8">
        <f t="shared" si="113"/>
        <v>0.77023667969752219</v>
      </c>
      <c r="J24" s="8">
        <f t="shared" si="113"/>
        <v>0.77538945911537704</v>
      </c>
      <c r="K24" s="8">
        <f t="shared" si="113"/>
        <v>0.7780252172091493</v>
      </c>
      <c r="P24" s="8">
        <f t="shared" ref="P24:R24" si="114">+P4/P2</f>
        <v>0.7758559228306009</v>
      </c>
      <c r="Q24" s="8">
        <f t="shared" si="114"/>
        <v>0.76148459714060424</v>
      </c>
      <c r="R24" s="8">
        <f t="shared" si="114"/>
        <v>0.76324952091583154</v>
      </c>
      <c r="S24" s="8">
        <f t="shared" ref="S24:Z24" si="115">+S4/S2</f>
        <v>0.76</v>
      </c>
      <c r="T24" s="8">
        <f t="shared" si="115"/>
        <v>0.76</v>
      </c>
      <c r="U24" s="8">
        <f t="shared" si="115"/>
        <v>0.76</v>
      </c>
      <c r="V24" s="8">
        <f t="shared" si="115"/>
        <v>0.7599999999999999</v>
      </c>
      <c r="W24" s="8">
        <f t="shared" si="115"/>
        <v>0.76</v>
      </c>
      <c r="X24" s="8">
        <f t="shared" si="115"/>
        <v>0.76</v>
      </c>
      <c r="Y24" s="8">
        <f t="shared" si="115"/>
        <v>0.76</v>
      </c>
      <c r="Z24" s="8">
        <f t="shared" si="115"/>
        <v>0.76</v>
      </c>
    </row>
    <row r="25" spans="1:26" x14ac:dyDescent="0.25">
      <c r="A25" s="1" t="s">
        <v>40</v>
      </c>
      <c r="B25" s="8">
        <f t="shared" ref="B25:E25" si="116">+B9/B2</f>
        <v>-0.18864385130581099</v>
      </c>
      <c r="C25" s="8">
        <f t="shared" si="116"/>
        <v>-0.27520819386227863</v>
      </c>
      <c r="D25" s="8">
        <f t="shared" si="116"/>
        <v>-0.17993200896567749</v>
      </c>
      <c r="E25" s="8">
        <f t="shared" si="116"/>
        <v>-0.18551510738987967</v>
      </c>
      <c r="F25" s="8">
        <f t="shared" ref="F25" si="117">+F9/F2</f>
        <v>-0.1629085896441804</v>
      </c>
      <c r="G25" s="8">
        <f t="shared" ref="G25:K25" si="118">+G9/G2</f>
        <v>-0.18208457863037844</v>
      </c>
      <c r="H25" s="8">
        <f t="shared" si="118"/>
        <v>-0.11684043348837778</v>
      </c>
      <c r="I25" s="8">
        <f t="shared" si="118"/>
        <v>-0.11815776623362349</v>
      </c>
      <c r="J25" s="8">
        <f t="shared" si="118"/>
        <v>-0.14408270426463693</v>
      </c>
      <c r="K25" s="8">
        <f t="shared" si="118"/>
        <v>-8.652954144180984E-2</v>
      </c>
      <c r="P25" s="8">
        <f t="shared" ref="P25:R25" si="119">+P9/P2</f>
        <v>-0.19451392845499715</v>
      </c>
      <c r="Q25" s="8">
        <f t="shared" si="119"/>
        <v>-0.20631105542117292</v>
      </c>
      <c r="R25" s="8">
        <f t="shared" si="119"/>
        <v>-0.14303891667212909</v>
      </c>
      <c r="S25" s="8">
        <f t="shared" ref="S25:Z25" si="120">+S9/S2</f>
        <v>-9.4999999999999946E-2</v>
      </c>
      <c r="T25" s="8">
        <f t="shared" si="120"/>
        <v>6.0000000000000032E-2</v>
      </c>
      <c r="U25" s="8">
        <f t="shared" si="120"/>
        <v>7.9999999999999946E-2</v>
      </c>
      <c r="V25" s="8">
        <f t="shared" si="120"/>
        <v>0.14999999999999986</v>
      </c>
      <c r="W25" s="8">
        <f t="shared" si="120"/>
        <v>0.21000000000000008</v>
      </c>
      <c r="X25" s="8">
        <f t="shared" si="120"/>
        <v>0.20999999999999991</v>
      </c>
      <c r="Y25" s="8">
        <f t="shared" si="120"/>
        <v>0.24</v>
      </c>
      <c r="Z25" s="8">
        <f t="shared" si="120"/>
        <v>0.24000000000000005</v>
      </c>
    </row>
    <row r="26" spans="1:26" x14ac:dyDescent="0.25">
      <c r="A26" s="1" t="s">
        <v>41</v>
      </c>
      <c r="B26" s="8">
        <f t="shared" ref="B26:E26" si="121">+B14/B2</f>
        <v>-0.19503975641829316</v>
      </c>
      <c r="C26" s="8">
        <f t="shared" si="121"/>
        <v>-0.27092705432868408</v>
      </c>
      <c r="D26" s="8">
        <f t="shared" si="121"/>
        <v>-0.16653470260816125</v>
      </c>
      <c r="E26" s="8">
        <f t="shared" si="121"/>
        <v>-0.16813614852566416</v>
      </c>
      <c r="F26" s="8">
        <f t="shared" ref="F26" si="122">+F14/F2</f>
        <v>-0.13123804600672023</v>
      </c>
      <c r="G26" s="8">
        <f t="shared" ref="G26:K26" si="123">+G14/G2</f>
        <v>-0.30621989406601091</v>
      </c>
      <c r="H26" s="8">
        <f t="shared" si="123"/>
        <v>-7.0127501839971768E-2</v>
      </c>
      <c r="I26" s="8">
        <f t="shared" si="123"/>
        <v>-7.6874691356322286E-2</v>
      </c>
      <c r="J26" s="8">
        <f t="shared" si="123"/>
        <v>-9.38795885917139E-2</v>
      </c>
      <c r="K26" s="8">
        <f t="shared" si="123"/>
        <v>-3.7601372582270094E-2</v>
      </c>
      <c r="P26" s="8">
        <f t="shared" ref="P26:R26" si="124">+P14/P2</f>
        <v>-0.39655498106412596</v>
      </c>
      <c r="Q26" s="8">
        <f t="shared" si="124"/>
        <v>-0.19829047384185047</v>
      </c>
      <c r="R26" s="8">
        <f t="shared" si="124"/>
        <v>-0.1418544123941099</v>
      </c>
      <c r="S26" s="8">
        <f t="shared" ref="S26:Z26" si="125">+S14/S2</f>
        <v>-8.0724285974255683E-2</v>
      </c>
      <c r="T26" s="8">
        <f t="shared" si="125"/>
        <v>5.7826333151354339E-2</v>
      </c>
      <c r="U26" s="8">
        <f t="shared" si="125"/>
        <v>7.5281531223754375E-2</v>
      </c>
      <c r="V26" s="8">
        <f t="shared" si="125"/>
        <v>0.13572038925550103</v>
      </c>
      <c r="W26" s="8">
        <f t="shared" si="125"/>
        <v>0.18947137709714512</v>
      </c>
      <c r="X26" s="8">
        <f t="shared" si="125"/>
        <v>0.19342071421472443</v>
      </c>
      <c r="Y26" s="8">
        <f t="shared" si="125"/>
        <v>0.2221498780932159</v>
      </c>
      <c r="Z26" s="8">
        <f t="shared" si="125"/>
        <v>0.22564019444092362</v>
      </c>
    </row>
    <row r="28" spans="1:26" x14ac:dyDescent="0.25">
      <c r="A28" s="1" t="s">
        <v>32</v>
      </c>
      <c r="F28" s="2">
        <f t="shared" ref="F28" si="126">+F14</f>
        <v>-38.082000000000043</v>
      </c>
      <c r="G28" s="2">
        <f>+G14</f>
        <v>-94.46699999999997</v>
      </c>
      <c r="H28" s="2">
        <f t="shared" ref="H28:K28" si="127">+H14</f>
        <v>-23.535000000000046</v>
      </c>
      <c r="I28" s="2">
        <f t="shared" si="127"/>
        <v>-27.865000000000187</v>
      </c>
      <c r="J28" s="2">
        <f t="shared" si="127"/>
        <v>-35.543000000000063</v>
      </c>
      <c r="K28" s="2">
        <f t="shared" si="127"/>
        <v>-15.077999999999978</v>
      </c>
      <c r="P28" s="2">
        <f t="shared" ref="P28:Q28" si="128">+P14</f>
        <v>-260.30899999999997</v>
      </c>
      <c r="Q28" s="2">
        <f t="shared" si="128"/>
        <v>-193.38100000000009</v>
      </c>
      <c r="R28" s="2">
        <f>+R14</f>
        <v>-183.94900000000001</v>
      </c>
    </row>
    <row r="29" spans="1:26" x14ac:dyDescent="0.25">
      <c r="A29" s="1" t="s">
        <v>42</v>
      </c>
      <c r="B29" s="2"/>
      <c r="C29" s="2"/>
      <c r="D29" s="2"/>
      <c r="E29" s="2"/>
      <c r="F29" s="2">
        <v>31.509</v>
      </c>
      <c r="G29" s="2">
        <f>65.182-F29</f>
        <v>33.673000000000002</v>
      </c>
      <c r="H29" s="2"/>
      <c r="I29" s="2"/>
      <c r="J29" s="2">
        <v>30.111999999999998</v>
      </c>
      <c r="K29" s="2">
        <f>59.767-J29</f>
        <v>29.655000000000005</v>
      </c>
      <c r="L29" s="2"/>
      <c r="M29" s="2"/>
      <c r="P29" s="2">
        <v>66.606999999999999</v>
      </c>
      <c r="Q29" s="2">
        <v>102.33499999999999</v>
      </c>
      <c r="R29" s="2">
        <v>135.82</v>
      </c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43</v>
      </c>
      <c r="B30" s="2"/>
      <c r="C30" s="2"/>
      <c r="D30" s="2"/>
      <c r="E30" s="2"/>
      <c r="F30" s="2">
        <v>11.061</v>
      </c>
      <c r="G30" s="2">
        <f>21.925-F30</f>
        <v>10.864000000000001</v>
      </c>
      <c r="H30" s="2"/>
      <c r="I30" s="2"/>
      <c r="J30" s="2">
        <v>11.863</v>
      </c>
      <c r="K30" s="2">
        <f>23.124-J30</f>
        <v>11.260999999999999</v>
      </c>
      <c r="L30" s="2"/>
      <c r="M30" s="2"/>
      <c r="P30" s="2">
        <v>25.091000000000001</v>
      </c>
      <c r="Q30" s="2">
        <v>36.332000000000001</v>
      </c>
      <c r="R30" s="2">
        <v>44.792000000000002</v>
      </c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44</v>
      </c>
      <c r="B31" s="2"/>
      <c r="C31" s="2"/>
      <c r="D31" s="2"/>
      <c r="E31" s="2"/>
      <c r="F31" s="2">
        <v>14.109</v>
      </c>
      <c r="G31" s="2">
        <f>29.011-F31</f>
        <v>14.901999999999999</v>
      </c>
      <c r="H31" s="2"/>
      <c r="I31" s="2"/>
      <c r="J31" s="2">
        <v>18.106999999999999</v>
      </c>
      <c r="K31" s="2">
        <f>36.991-J31</f>
        <v>18.884</v>
      </c>
      <c r="L31" s="2"/>
      <c r="M31" s="2"/>
      <c r="P31" s="2">
        <v>29.266999999999999</v>
      </c>
      <c r="Q31" s="2">
        <v>45.115000000000002</v>
      </c>
      <c r="R31" s="2">
        <v>61.374000000000002</v>
      </c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45</v>
      </c>
      <c r="B32" s="2"/>
      <c r="C32" s="2"/>
      <c r="D32" s="2"/>
      <c r="E32" s="2"/>
      <c r="F32" s="2">
        <v>57.401000000000003</v>
      </c>
      <c r="G32" s="2">
        <f>125.793-F32</f>
        <v>68.391999999999996</v>
      </c>
      <c r="H32" s="2"/>
      <c r="I32" s="2"/>
      <c r="J32" s="2">
        <v>69.722999999999999</v>
      </c>
      <c r="K32" s="2">
        <f>155.714-J32</f>
        <v>85.991</v>
      </c>
      <c r="L32" s="2"/>
      <c r="M32" s="2"/>
      <c r="P32" s="2">
        <v>90.137</v>
      </c>
      <c r="Q32" s="2">
        <v>202.77699999999999</v>
      </c>
      <c r="R32" s="2">
        <v>273.98899999999998</v>
      </c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 t="s">
        <v>46</v>
      </c>
      <c r="B33" s="2"/>
      <c r="C33" s="2"/>
      <c r="D33" s="2"/>
      <c r="E33" s="2"/>
      <c r="F33" s="2">
        <v>1.163</v>
      </c>
      <c r="G33" s="2">
        <f>2.47-F33</f>
        <v>1.3070000000000002</v>
      </c>
      <c r="H33" s="2"/>
      <c r="I33" s="2"/>
      <c r="J33" s="2">
        <v>0.99</v>
      </c>
      <c r="K33" s="2">
        <f>1.98-J33</f>
        <v>0.99</v>
      </c>
      <c r="L33" s="2"/>
      <c r="M33" s="2"/>
      <c r="P33" s="2">
        <v>46.173999999999999</v>
      </c>
      <c r="Q33" s="2">
        <v>4.6589999999999998</v>
      </c>
      <c r="R33" s="2">
        <v>4.5190000000000001</v>
      </c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47</v>
      </c>
      <c r="B34" s="2"/>
      <c r="C34" s="2"/>
      <c r="D34" s="2"/>
      <c r="E34" s="2"/>
      <c r="F34" s="2">
        <v>-8.2279999999999998</v>
      </c>
      <c r="G34" s="2">
        <f>-19.05-F34</f>
        <v>-10.822000000000001</v>
      </c>
      <c r="H34" s="2"/>
      <c r="I34" s="2"/>
      <c r="J34" s="2">
        <v>-12.712999999999999</v>
      </c>
      <c r="K34" s="2">
        <f>-24.028-J34</f>
        <v>-11.315</v>
      </c>
      <c r="L34" s="2"/>
      <c r="M34" s="2"/>
      <c r="P34" s="2">
        <v>8.3569999999999993</v>
      </c>
      <c r="Q34" s="2">
        <v>-0.26300000000000001</v>
      </c>
      <c r="R34" s="2">
        <v>-44.441000000000003</v>
      </c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48</v>
      </c>
      <c r="B35" s="2"/>
      <c r="C35" s="2"/>
      <c r="D35" s="2"/>
      <c r="E35" s="2"/>
      <c r="F35" s="2">
        <v>-0.12</v>
      </c>
      <c r="G35" s="2">
        <f>-0.613-F35</f>
        <v>-0.49299999999999999</v>
      </c>
      <c r="H35" s="2"/>
      <c r="I35" s="2"/>
      <c r="J35" s="2">
        <v>-0.27600000000000002</v>
      </c>
      <c r="K35" s="2">
        <f>-1.31-J35</f>
        <v>-1.034</v>
      </c>
      <c r="L35" s="2"/>
      <c r="M35" s="2"/>
      <c r="P35" s="2">
        <v>8.7379999999999995</v>
      </c>
      <c r="Q35" s="2">
        <v>-0.14000000000000001</v>
      </c>
      <c r="R35" s="2">
        <v>2.2639999999999998</v>
      </c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49</v>
      </c>
      <c r="B36" s="2"/>
      <c r="C36" s="2"/>
      <c r="D36" s="2"/>
      <c r="E36" s="2"/>
      <c r="F36" s="2">
        <v>1.5760000000000001</v>
      </c>
      <c r="G36" s="2">
        <f>6.037-F36</f>
        <v>4.4610000000000003</v>
      </c>
      <c r="H36" s="2"/>
      <c r="I36" s="2"/>
      <c r="J36" s="2">
        <v>3.2229999999999999</v>
      </c>
      <c r="K36" s="2">
        <f>4.77-J36</f>
        <v>1.5469999999999997</v>
      </c>
      <c r="L36" s="2"/>
      <c r="M36" s="2"/>
      <c r="P36" s="2">
        <v>3.8039999999999998</v>
      </c>
      <c r="Q36" s="2">
        <v>4.8280000000000003</v>
      </c>
      <c r="R36" s="2">
        <v>13.637</v>
      </c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65</v>
      </c>
      <c r="B37" s="2"/>
      <c r="C37" s="2"/>
      <c r="D37" s="2"/>
      <c r="E37" s="2"/>
      <c r="F37" s="2"/>
      <c r="G37" s="2">
        <v>50.3</v>
      </c>
      <c r="H37" s="2"/>
      <c r="I37" s="2"/>
      <c r="J37" s="2"/>
      <c r="K37" s="2"/>
      <c r="L37" s="2"/>
      <c r="M37" s="2"/>
      <c r="P37" s="2">
        <v>72.233999999999995</v>
      </c>
      <c r="Q37" s="2"/>
      <c r="R37" s="2">
        <v>50.3</v>
      </c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P38" s="2">
        <v>-29.353000000000002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50</v>
      </c>
      <c r="B39" s="2"/>
      <c r="C39" s="2"/>
      <c r="D39" s="2"/>
      <c r="E39" s="2"/>
      <c r="F39" s="2">
        <v>-1.4E-2</v>
      </c>
      <c r="G39" s="2">
        <f>0.494-F39</f>
        <v>0.50800000000000001</v>
      </c>
      <c r="H39" s="2"/>
      <c r="I39" s="2"/>
      <c r="J39" s="2">
        <v>0.106</v>
      </c>
      <c r="K39" s="2">
        <f>0.291-J39</f>
        <v>0.185</v>
      </c>
      <c r="L39" s="2"/>
      <c r="M39" s="2"/>
      <c r="P39" s="2">
        <v>0.51100000000000001</v>
      </c>
      <c r="Q39" s="2">
        <v>0.629</v>
      </c>
      <c r="R39" s="2">
        <v>0.82899999999999996</v>
      </c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51</v>
      </c>
      <c r="B40" s="2"/>
      <c r="C40" s="2"/>
      <c r="D40" s="2"/>
      <c r="E40" s="2"/>
      <c r="F40" s="2">
        <f>-32.781+0.269-19.391-8.934-0.811+11.634+0.65-6.908+24.881+0.43</f>
        <v>-30.960999999999999</v>
      </c>
      <c r="G40" s="2">
        <f>-35.413-0.381-43.348-13.996-1.991+6.602+1.454-18.149+56.46+0.627</f>
        <v>-48.134999999999991</v>
      </c>
      <c r="H40" s="2"/>
      <c r="I40" s="2"/>
      <c r="J40" s="2">
        <f>31.862-0.548-22.398-23.022+0.76+3.073+3.838-14.678+9.036+0.064</f>
        <v>-12.013</v>
      </c>
      <c r="K40" s="2">
        <f>-6.715-1.876-48.085-24.726+1.941+15.996+0.254-25.031+29.695+0.263</f>
        <v>-58.283999999999992</v>
      </c>
      <c r="L40" s="2"/>
      <c r="M40" s="2"/>
      <c r="P40" s="2">
        <f>-35.848-2.541-55.411-2.395+1.534+2.462+58.897-23.071+64.39-4.627</f>
        <v>3.3900000000000103</v>
      </c>
      <c r="Q40" s="2">
        <f>-56.195-2.213-67.94-7.701-0.539-9.605-5.363-31.691+102.204-0.253</f>
        <v>-79.295999999999992</v>
      </c>
      <c r="R40" s="2">
        <f>-113.361-2.749-101.465-22.125+1.018+11.781+25.788-40.046+134.473+1.958</f>
        <v>-104.72799999999995</v>
      </c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52</v>
      </c>
      <c r="B41" s="2">
        <f t="shared" ref="B41:I41" si="129">+SUM(B28:B40)</f>
        <v>0</v>
      </c>
      <c r="C41" s="2">
        <f t="shared" si="129"/>
        <v>0</v>
      </c>
      <c r="D41" s="2">
        <f t="shared" si="129"/>
        <v>0</v>
      </c>
      <c r="E41" s="2">
        <f t="shared" si="129"/>
        <v>0</v>
      </c>
      <c r="F41" s="2">
        <f t="shared" si="129"/>
        <v>39.413999999999959</v>
      </c>
      <c r="G41" s="2">
        <f>+SUM(G28:G40)</f>
        <v>30.490000000000038</v>
      </c>
      <c r="H41" s="2">
        <f t="shared" si="129"/>
        <v>-23.535000000000046</v>
      </c>
      <c r="I41" s="2">
        <f t="shared" si="129"/>
        <v>-27.865000000000187</v>
      </c>
      <c r="J41" s="2">
        <f>+SUM(J28:J40)</f>
        <v>73.578999999999922</v>
      </c>
      <c r="K41" s="2">
        <f t="shared" ref="K41" si="130">+SUM(K28:K40)</f>
        <v>62.802000000000035</v>
      </c>
      <c r="P41" s="2">
        <f>+SUM(P28:P40)</f>
        <v>64.648000000000039</v>
      </c>
      <c r="Q41" s="2">
        <f t="shared" ref="Q41" si="131">+SUM(Q28:Q40)</f>
        <v>123.59499999999989</v>
      </c>
      <c r="R41" s="2">
        <f t="shared" ref="R41" si="132">+SUM(R28:R40)</f>
        <v>254.40600000000001</v>
      </c>
      <c r="S41" s="2">
        <f t="shared" ref="S41" si="133">+SUM(S28:S40)</f>
        <v>0</v>
      </c>
      <c r="T41" s="2">
        <f t="shared" ref="T41" si="134">+SUM(T28:T40)</f>
        <v>0</v>
      </c>
      <c r="U41" s="2">
        <f t="shared" ref="U41" si="135">+SUM(U28:U40)</f>
        <v>0</v>
      </c>
      <c r="V41" s="2">
        <f t="shared" ref="V41" si="136">+SUM(V28:V40)</f>
        <v>0</v>
      </c>
      <c r="W41" s="2">
        <f t="shared" ref="W41" si="137">+SUM(W28:W40)</f>
        <v>0</v>
      </c>
      <c r="X41" s="2">
        <f t="shared" ref="X41" si="138">+SUM(X28:X40)</f>
        <v>0</v>
      </c>
      <c r="Y41" s="2">
        <f t="shared" ref="Y41" si="139">+SUM(Y28:Y40)</f>
        <v>0</v>
      </c>
      <c r="Z41" s="2">
        <f t="shared" ref="Z41" si="140">+SUM(Z28:Z40)</f>
        <v>0</v>
      </c>
    </row>
    <row r="43" spans="1:26" x14ac:dyDescent="0.25">
      <c r="A43" s="1" t="s">
        <v>53</v>
      </c>
      <c r="B43" s="2"/>
      <c r="C43" s="2"/>
      <c r="D43" s="2"/>
      <c r="E43" s="2"/>
      <c r="F43" s="2">
        <v>-17.451000000000001</v>
      </c>
      <c r="G43" s="2">
        <f>-56.289-F43</f>
        <v>-38.838000000000001</v>
      </c>
      <c r="H43" s="2"/>
      <c r="I43" s="2"/>
      <c r="J43" s="2">
        <v>-32.055999999999997</v>
      </c>
      <c r="K43" s="2">
        <f>-61.681-J43</f>
        <v>-29.625</v>
      </c>
      <c r="L43" s="2"/>
      <c r="M43" s="2"/>
      <c r="P43" s="2">
        <v>-92.986000000000004</v>
      </c>
      <c r="Q43" s="2">
        <v>-143.60599999999999</v>
      </c>
      <c r="R43" s="2">
        <v>-114.396</v>
      </c>
    </row>
    <row r="44" spans="1:26" x14ac:dyDescent="0.25">
      <c r="A44" s="1" t="s">
        <v>54</v>
      </c>
      <c r="B44" s="2"/>
      <c r="C44" s="2"/>
      <c r="D44" s="2"/>
      <c r="E44" s="2"/>
      <c r="F44" s="2">
        <v>-4.97</v>
      </c>
      <c r="G44" s="2">
        <f>-10.703-F44</f>
        <v>-5.7329999999999997</v>
      </c>
      <c r="H44" s="2"/>
      <c r="I44" s="2"/>
      <c r="J44" s="2">
        <v>-5.9160000000000004</v>
      </c>
      <c r="K44" s="2">
        <f>-12.831-J44</f>
        <v>-6.9149999999999991</v>
      </c>
      <c r="L44" s="2"/>
      <c r="M44" s="2"/>
      <c r="P44" s="2">
        <v>-14.752000000000001</v>
      </c>
      <c r="Q44" s="2">
        <v>-19.757999999999999</v>
      </c>
      <c r="R44" s="2">
        <v>-20.545999999999999</v>
      </c>
    </row>
    <row r="45" spans="1:26" x14ac:dyDescent="0.25">
      <c r="A45" s="1" t="s">
        <v>66</v>
      </c>
      <c r="B45" s="2"/>
      <c r="C45" s="2"/>
      <c r="D45" s="2"/>
      <c r="E45" s="2"/>
      <c r="F45" s="2"/>
      <c r="G45" s="2"/>
      <c r="H45" s="2"/>
      <c r="I45" s="2"/>
      <c r="J45" s="2"/>
      <c r="K45" s="2">
        <f>-13.977-J45</f>
        <v>-13.977</v>
      </c>
      <c r="L45" s="2"/>
      <c r="M45" s="2"/>
      <c r="P45" s="2">
        <v>-5.6050000000000004</v>
      </c>
      <c r="Q45" s="2">
        <v>-88.186999999999998</v>
      </c>
      <c r="R45" s="2">
        <v>-6.0830000000000002</v>
      </c>
    </row>
    <row r="46" spans="1:26" x14ac:dyDescent="0.25">
      <c r="A46" s="1" t="s">
        <v>55</v>
      </c>
      <c r="B46" s="2"/>
      <c r="C46" s="2"/>
      <c r="D46" s="2"/>
      <c r="E46" s="2"/>
      <c r="F46" s="2">
        <v>-476.20600000000002</v>
      </c>
      <c r="G46" s="2">
        <f>-795.096-F46</f>
        <v>-318.89</v>
      </c>
      <c r="H46" s="2"/>
      <c r="I46" s="2"/>
      <c r="J46" s="2">
        <v>-298.995</v>
      </c>
      <c r="K46" s="2">
        <f>-790.675-J46</f>
        <v>-491.67999999999995</v>
      </c>
      <c r="L46" s="2"/>
      <c r="M46" s="2"/>
      <c r="P46" s="2">
        <v>-1589.2650000000001</v>
      </c>
      <c r="Q46" s="2">
        <v>-1132.951</v>
      </c>
      <c r="R46" s="2">
        <v>-1877.5129999999999</v>
      </c>
    </row>
    <row r="47" spans="1:26" x14ac:dyDescent="0.25">
      <c r="A47" s="1" t="s">
        <v>56</v>
      </c>
      <c r="B47" s="2"/>
      <c r="C47" s="2"/>
      <c r="D47" s="2"/>
      <c r="E47" s="2"/>
      <c r="F47" s="2">
        <v>20.248000000000001</v>
      </c>
      <c r="G47" s="2">
        <f>20.248-F47</f>
        <v>0</v>
      </c>
      <c r="H47" s="2"/>
      <c r="I47" s="2"/>
      <c r="J47" s="2"/>
      <c r="L47" s="2"/>
      <c r="M47" s="2"/>
      <c r="P47" s="2">
        <v>25.713999999999999</v>
      </c>
      <c r="Q47" s="2"/>
      <c r="R47" s="2">
        <v>20.248000000000001</v>
      </c>
    </row>
    <row r="48" spans="1:26" x14ac:dyDescent="0.25">
      <c r="A48" s="1" t="s">
        <v>57</v>
      </c>
      <c r="B48" s="2"/>
      <c r="C48" s="2"/>
      <c r="D48" s="2"/>
      <c r="E48" s="2"/>
      <c r="F48" s="2">
        <v>493.988</v>
      </c>
      <c r="G48" s="2">
        <f>857.456-F48</f>
        <v>363.46800000000002</v>
      </c>
      <c r="H48" s="2"/>
      <c r="I48" s="2"/>
      <c r="J48" s="2">
        <v>433.90300000000002</v>
      </c>
      <c r="K48" s="2">
        <f>792.654-J48</f>
        <v>358.75099999999998</v>
      </c>
      <c r="L48" s="2"/>
      <c r="M48" s="2"/>
      <c r="P48" s="2">
        <v>967.51900000000001</v>
      </c>
      <c r="Q48" s="2">
        <v>1148.77</v>
      </c>
      <c r="R48" s="2">
        <v>1812.0150000000001</v>
      </c>
    </row>
    <row r="49" spans="1:26" x14ac:dyDescent="0.25">
      <c r="A49" s="1" t="s">
        <v>58</v>
      </c>
      <c r="B49" s="2"/>
      <c r="C49" s="2"/>
      <c r="D49" s="2"/>
      <c r="E49" s="2"/>
      <c r="F49" s="2">
        <v>4.8000000000000001E-2</v>
      </c>
      <c r="G49" s="2">
        <f>0.059-F49</f>
        <v>1.0999999999999996E-2</v>
      </c>
      <c r="H49" s="2"/>
      <c r="I49" s="2"/>
      <c r="J49" s="2">
        <v>1.4E-2</v>
      </c>
      <c r="K49" s="2">
        <f>0.018-J49</f>
        <v>3.9999999999999983E-3</v>
      </c>
      <c r="L49" s="2"/>
      <c r="M49" s="2"/>
      <c r="P49" s="2">
        <v>5.2999999999999999E-2</v>
      </c>
      <c r="Q49" s="2">
        <v>3.5999999999999997E-2</v>
      </c>
      <c r="R49" s="2">
        <v>-7.3999999999999996E-2</v>
      </c>
    </row>
    <row r="50" spans="1:26" x14ac:dyDescent="0.25">
      <c r="A50" s="1" t="s">
        <v>59</v>
      </c>
      <c r="B50" s="2">
        <f t="shared" ref="B50:E50" si="141">+SUM(B43:B49)</f>
        <v>0</v>
      </c>
      <c r="C50" s="2">
        <f t="shared" si="141"/>
        <v>0</v>
      </c>
      <c r="D50" s="2">
        <f t="shared" si="141"/>
        <v>0</v>
      </c>
      <c r="E50" s="2">
        <f t="shared" si="141"/>
        <v>0</v>
      </c>
      <c r="F50" s="2">
        <f>+SUM(F43:F49)</f>
        <v>15.65699999999998</v>
      </c>
      <c r="G50" s="2">
        <f t="shared" ref="G50:M50" si="142">+SUM(G43:G49)</f>
        <v>1.8000000000004998E-2</v>
      </c>
      <c r="H50" s="2">
        <f t="shared" si="142"/>
        <v>0</v>
      </c>
      <c r="I50" s="2">
        <f t="shared" si="142"/>
        <v>0</v>
      </c>
      <c r="J50" s="2">
        <f t="shared" ref="J50" si="143">+SUM(J43:J49)</f>
        <v>96.950000000000031</v>
      </c>
      <c r="K50" s="2">
        <f t="shared" ref="K50" si="144">+SUM(K43:K49)</f>
        <v>-183.44199999999992</v>
      </c>
      <c r="L50" s="2">
        <f t="shared" si="142"/>
        <v>0</v>
      </c>
      <c r="M50" s="2">
        <f t="shared" si="142"/>
        <v>0</v>
      </c>
      <c r="P50" s="2">
        <f t="shared" ref="P50" si="145">+SUM(P43:P49)</f>
        <v>-709.32200000000023</v>
      </c>
      <c r="Q50" s="2">
        <f t="shared" ref="Q50" si="146">+SUM(Q43:Q49)</f>
        <v>-235.69599999999997</v>
      </c>
      <c r="R50" s="2">
        <f t="shared" ref="R50" si="147">+SUM(R43:R49)</f>
        <v>-186.34899999999988</v>
      </c>
      <c r="S50" s="2">
        <f t="shared" ref="S50" si="148">+SUM(S43:S49)</f>
        <v>0</v>
      </c>
      <c r="T50" s="2">
        <f t="shared" ref="T50" si="149">+SUM(T43:T49)</f>
        <v>0</v>
      </c>
      <c r="U50" s="2">
        <f t="shared" ref="U50" si="150">+SUM(U43:U49)</f>
        <v>0</v>
      </c>
      <c r="V50" s="2">
        <f t="shared" ref="V50" si="151">+SUM(V43:V49)</f>
        <v>0</v>
      </c>
      <c r="W50" s="2">
        <f t="shared" ref="W50" si="152">+SUM(W43:W49)</f>
        <v>0</v>
      </c>
      <c r="X50" s="2">
        <f t="shared" ref="X50" si="153">+SUM(X43:X49)</f>
        <v>0</v>
      </c>
      <c r="Y50" s="2">
        <f t="shared" ref="Y50" si="154">+SUM(Y43:Y49)</f>
        <v>0</v>
      </c>
      <c r="Z50" s="2">
        <f t="shared" ref="Z50" si="155">+SUM(Z43:Z49)</f>
        <v>0</v>
      </c>
    </row>
    <row r="51" spans="1:2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26" x14ac:dyDescent="0.25">
      <c r="A52" s="1" t="s">
        <v>67</v>
      </c>
      <c r="B52" s="2"/>
      <c r="C52" s="2"/>
      <c r="D52" s="2"/>
      <c r="E52" s="2"/>
      <c r="F52" s="2"/>
      <c r="G52" s="2">
        <f>-172.249-F52</f>
        <v>-172.249</v>
      </c>
      <c r="H52" s="2"/>
      <c r="I52" s="2"/>
      <c r="J52" s="2"/>
      <c r="K52" s="2"/>
      <c r="L52" s="2"/>
      <c r="M52" s="2"/>
      <c r="P52" s="2"/>
      <c r="Q52" s="2">
        <v>-16.571000000000002</v>
      </c>
      <c r="R52" s="2">
        <v>-207.649</v>
      </c>
    </row>
    <row r="53" spans="1:26" x14ac:dyDescent="0.25">
      <c r="A53" s="1" t="s">
        <v>68</v>
      </c>
      <c r="B53" s="2"/>
      <c r="C53" s="2"/>
      <c r="D53" s="2"/>
      <c r="E53" s="2"/>
      <c r="F53" s="2"/>
      <c r="G53" s="2"/>
      <c r="H53" s="2"/>
      <c r="I53" s="2"/>
      <c r="J53" s="2"/>
      <c r="K53" s="2">
        <v>-2.1480000000000001</v>
      </c>
      <c r="L53" s="2"/>
      <c r="M53" s="2"/>
      <c r="P53" s="2"/>
      <c r="Q53" s="2"/>
      <c r="R53" s="2"/>
    </row>
    <row r="54" spans="1:26" x14ac:dyDescent="0.25">
      <c r="A54" s="1" t="s">
        <v>60</v>
      </c>
      <c r="B54" s="2"/>
      <c r="C54" s="2"/>
      <c r="D54" s="2"/>
      <c r="E54" s="2"/>
      <c r="F54" s="2">
        <v>3.3050000000000002</v>
      </c>
      <c r="G54" s="2">
        <f>7.059-F54</f>
        <v>3.754</v>
      </c>
      <c r="H54" s="2"/>
      <c r="I54" s="2"/>
      <c r="J54" s="2">
        <v>4.4219999999999997</v>
      </c>
      <c r="K54" s="2">
        <f>7.614-J54</f>
        <v>3.1920000000000002</v>
      </c>
      <c r="L54" s="2"/>
      <c r="M54" s="2"/>
      <c r="P54" s="2">
        <f>21.385+0.115</f>
        <v>21.5</v>
      </c>
      <c r="Q54" s="2">
        <v>10.113</v>
      </c>
      <c r="R54" s="2">
        <v>14.851000000000001</v>
      </c>
    </row>
    <row r="55" spans="1:26" x14ac:dyDescent="0.25">
      <c r="A55" s="1" t="s">
        <v>69</v>
      </c>
      <c r="B55" s="2"/>
      <c r="C55" s="2"/>
      <c r="D55" s="2"/>
      <c r="E55" s="2"/>
      <c r="F55" s="2"/>
      <c r="G55" s="2">
        <f>10.45-F55</f>
        <v>10.45</v>
      </c>
      <c r="H55" s="2"/>
      <c r="I55" s="2"/>
      <c r="J55" s="2"/>
      <c r="K55" s="2">
        <f>10.455-J55</f>
        <v>10.455</v>
      </c>
      <c r="L55" s="2"/>
      <c r="M55" s="2"/>
      <c r="P55" s="2">
        <v>14.984</v>
      </c>
      <c r="Q55" s="2">
        <v>15.291</v>
      </c>
      <c r="R55" s="2">
        <v>19.082999999999998</v>
      </c>
    </row>
    <row r="56" spans="1:26" x14ac:dyDescent="0.25">
      <c r="A56" s="1" t="s">
        <v>61</v>
      </c>
      <c r="B56" s="2"/>
      <c r="C56" s="2"/>
      <c r="D56" s="2"/>
      <c r="E56" s="2"/>
      <c r="F56" s="2">
        <v>-2.0579999999999998</v>
      </c>
      <c r="G56" s="2">
        <f>-3.383-F56</f>
        <v>-1.3250000000000002</v>
      </c>
      <c r="H56" s="2"/>
      <c r="I56" s="2"/>
      <c r="J56" s="2">
        <v>-4.4009999999999998</v>
      </c>
      <c r="K56" s="2">
        <f>-8.763-J56</f>
        <v>-4.3620000000000001</v>
      </c>
      <c r="L56" s="2"/>
      <c r="M56" s="2"/>
      <c r="P56" s="2">
        <v>-3.6339999999999999</v>
      </c>
      <c r="Q56" s="2">
        <v>-2.4830000000000001</v>
      </c>
      <c r="R56" s="2">
        <v>-7.9530000000000003</v>
      </c>
    </row>
    <row r="57" spans="1:26" x14ac:dyDescent="0.25">
      <c r="A57" s="1" t="s">
        <v>70</v>
      </c>
      <c r="B57" s="2"/>
      <c r="C57" s="2"/>
      <c r="D57" s="2"/>
      <c r="E57" s="2"/>
      <c r="F57" s="2"/>
      <c r="G57" s="2">
        <v>-9.2080000000000002</v>
      </c>
      <c r="H57" s="2"/>
      <c r="I57" s="2"/>
      <c r="J57" s="2"/>
      <c r="K57" s="2"/>
      <c r="L57" s="2"/>
      <c r="M57" s="2"/>
      <c r="P57" s="2">
        <v>-2.1880000000000002</v>
      </c>
      <c r="Q57" s="2"/>
      <c r="R57" s="2">
        <v>-10.483000000000001</v>
      </c>
    </row>
    <row r="58" spans="1:26" x14ac:dyDescent="0.25">
      <c r="A58" s="1" t="s">
        <v>75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P58" s="2">
        <f>1293.75-86.293-370.647</f>
        <v>836.81</v>
      </c>
      <c r="Q58" s="2"/>
      <c r="R58" s="2"/>
    </row>
    <row r="59" spans="1:26" x14ac:dyDescent="0.25">
      <c r="A59" s="1" t="s">
        <v>62</v>
      </c>
      <c r="B59" s="2">
        <f t="shared" ref="B59:F59" si="156">+SUM(B52:B57)</f>
        <v>0</v>
      </c>
      <c r="C59" s="2">
        <f t="shared" si="156"/>
        <v>0</v>
      </c>
      <c r="D59" s="2">
        <f t="shared" si="156"/>
        <v>0</v>
      </c>
      <c r="E59" s="2">
        <f t="shared" si="156"/>
        <v>0</v>
      </c>
      <c r="F59" s="2">
        <f t="shared" si="156"/>
        <v>1.2470000000000003</v>
      </c>
      <c r="G59" s="2">
        <f>+SUM(G52:G57)</f>
        <v>-168.578</v>
      </c>
      <c r="H59" s="2">
        <f t="shared" ref="H59:M59" si="157">+SUM(H52:H57)</f>
        <v>0</v>
      </c>
      <c r="I59" s="2">
        <f t="shared" si="157"/>
        <v>0</v>
      </c>
      <c r="J59" s="2">
        <f t="shared" si="157"/>
        <v>2.0999999999999908E-2</v>
      </c>
      <c r="K59" s="2">
        <f t="shared" si="157"/>
        <v>7.1370000000000005</v>
      </c>
      <c r="L59" s="2">
        <f t="shared" si="157"/>
        <v>0</v>
      </c>
      <c r="M59" s="2">
        <f t="shared" si="157"/>
        <v>0</v>
      </c>
      <c r="P59" s="2">
        <f t="shared" ref="P59" si="158">+SUM(P52:P58)</f>
        <v>867.47199999999998</v>
      </c>
      <c r="Q59" s="2">
        <f>+SUM(Q52:Q58)</f>
        <v>6.3499999999999979</v>
      </c>
      <c r="R59" s="2">
        <f t="shared" ref="R59:S59" si="159">+SUM(R52:R58)</f>
        <v>-192.15100000000001</v>
      </c>
      <c r="S59" s="2">
        <f t="shared" si="159"/>
        <v>0</v>
      </c>
    </row>
    <row r="60" spans="1:26" x14ac:dyDescent="0.25">
      <c r="A60" s="1" t="s">
        <v>63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25">
      <c r="A61" s="1" t="s">
        <v>64</v>
      </c>
      <c r="B61" s="2">
        <f t="shared" ref="B61:I61" si="160">+B41+B50+B59</f>
        <v>0</v>
      </c>
      <c r="C61" s="2">
        <f t="shared" si="160"/>
        <v>0</v>
      </c>
      <c r="D61" s="2">
        <f t="shared" si="160"/>
        <v>0</v>
      </c>
      <c r="E61" s="2">
        <f t="shared" si="160"/>
        <v>0</v>
      </c>
      <c r="F61" s="2">
        <f t="shared" si="160"/>
        <v>56.317999999999941</v>
      </c>
      <c r="G61" s="2">
        <f t="shared" si="160"/>
        <v>-138.06999999999996</v>
      </c>
      <c r="H61" s="2">
        <f t="shared" si="160"/>
        <v>-23.535000000000046</v>
      </c>
      <c r="I61" s="2">
        <f t="shared" si="160"/>
        <v>-27.865000000000187</v>
      </c>
      <c r="J61" s="2">
        <f>+J41+J50+J59</f>
        <v>170.54999999999993</v>
      </c>
      <c r="K61" s="2">
        <f t="shared" ref="K61:M61" si="161">+K41+K50+K59</f>
        <v>-113.50299999999989</v>
      </c>
      <c r="L61" s="2">
        <f t="shared" si="161"/>
        <v>0</v>
      </c>
      <c r="M61" s="2">
        <f t="shared" si="161"/>
        <v>0</v>
      </c>
      <c r="P61" s="2">
        <f t="shared" ref="P61:R61" si="162">+P41+P50+P59</f>
        <v>222.79799999999977</v>
      </c>
      <c r="Q61" s="2">
        <f t="shared" si="162"/>
        <v>-105.75100000000009</v>
      </c>
      <c r="R61" s="2">
        <f t="shared" si="162"/>
        <v>-124.09399999999988</v>
      </c>
      <c r="S61" s="2">
        <f t="shared" ref="S61" si="163">+S41+S50+S59</f>
        <v>0</v>
      </c>
    </row>
    <row r="62" spans="1:26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25">
      <c r="A63" s="1" t="s">
        <v>76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P63" s="2">
        <f t="shared" ref="P63:Q63" si="164">+P41+P43+P44</f>
        <v>-43.089999999999968</v>
      </c>
      <c r="Q63" s="2">
        <f t="shared" si="164"/>
        <v>-39.769000000000105</v>
      </c>
      <c r="R63" s="2">
        <f>+R41+R43+R44</f>
        <v>119.464</v>
      </c>
    </row>
    <row r="64" spans="1:26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26" x14ac:dyDescent="0.25">
      <c r="A65" s="1" t="s">
        <v>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f>156.967+1600.43-1285.342</f>
        <v>472.05500000000006</v>
      </c>
      <c r="S65" s="2">
        <f>+R65+S14</f>
        <v>338.5895118750002</v>
      </c>
      <c r="T65" s="2">
        <f t="shared" ref="T65:Z65" si="165">+S65+T14</f>
        <v>460.48864175156274</v>
      </c>
      <c r="U65" s="2">
        <f t="shared" si="165"/>
        <v>662.82483758319154</v>
      </c>
      <c r="V65" s="2">
        <f t="shared" si="165"/>
        <v>1127.918495825003</v>
      </c>
      <c r="W65" s="2">
        <f t="shared" si="165"/>
        <v>1955.7636626180451</v>
      </c>
      <c r="X65" s="2">
        <f t="shared" si="165"/>
        <v>3033.2671224479227</v>
      </c>
      <c r="Y65" s="2">
        <f t="shared" si="165"/>
        <v>4611.1397955119355</v>
      </c>
      <c r="Z65" s="2">
        <f t="shared" si="165"/>
        <v>6654.5357327801621</v>
      </c>
    </row>
    <row r="66" spans="1:26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26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26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26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26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26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 Duarte Morais</cp:lastModifiedBy>
  <dcterms:created xsi:type="dcterms:W3CDTF">2024-09-24T17:29:53Z</dcterms:created>
  <dcterms:modified xsi:type="dcterms:W3CDTF">2024-10-08T07:51:39Z</dcterms:modified>
</cp:coreProperties>
</file>