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decc0a7aee32c85f/Ambiente de Trabalho/models/"/>
    </mc:Choice>
  </mc:AlternateContent>
  <xr:revisionPtr revIDLastSave="229" documentId="8_{C1BAC79A-D7C8-4EE6-A226-4A9C97B90DFB}" xr6:coauthVersionLast="47" xr6:coauthVersionMax="47" xr10:uidLastSave="{457F993D-8A97-4DC8-AE11-2AE03C49E474}"/>
  <bookViews>
    <workbookView xWindow="-120" yWindow="-120" windowWidth="29040" windowHeight="15720" activeTab="1" xr2:uid="{D53A7873-73F0-4B68-97F3-E8D9448553A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0" i="2" l="1"/>
  <c r="Y8" i="2"/>
  <c r="Y6" i="2"/>
  <c r="Y5" i="2"/>
  <c r="Y7" i="2" s="1"/>
  <c r="Y9" i="2" s="1"/>
  <c r="X20" i="2"/>
  <c r="Y20" i="2" s="1"/>
  <c r="Z20" i="2" s="1"/>
  <c r="AA20" i="2" s="1"/>
  <c r="AB20" i="2" s="1"/>
  <c r="AC20" i="2" s="1"/>
  <c r="AD20" i="2" s="1"/>
  <c r="AE20" i="2" s="1"/>
  <c r="AF20" i="2" s="1"/>
  <c r="AG20" i="2" s="1"/>
  <c r="AH20" i="2" s="1"/>
  <c r="AI20" i="2" s="1"/>
  <c r="AJ20" i="2" s="1"/>
  <c r="AK20" i="2" s="1"/>
  <c r="AL20" i="2" s="1"/>
  <c r="AM20" i="2" s="1"/>
  <c r="AN20" i="2" s="1"/>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BT20" i="2" s="1"/>
  <c r="BU20" i="2" s="1"/>
  <c r="BV20" i="2" s="1"/>
  <c r="BW20" i="2" s="1"/>
  <c r="BX20" i="2" s="1"/>
  <c r="BY20" i="2" s="1"/>
  <c r="BZ20" i="2" s="1"/>
  <c r="CA20" i="2" s="1"/>
  <c r="CB20" i="2" s="1"/>
  <c r="CC20" i="2" s="1"/>
  <c r="CD20" i="2" s="1"/>
  <c r="CE20" i="2" s="1"/>
  <c r="CF20" i="2" s="1"/>
  <c r="CG20" i="2" s="1"/>
  <c r="CH20" i="2" s="1"/>
  <c r="CI20" i="2" s="1"/>
  <c r="CJ20" i="2" s="1"/>
  <c r="W20" i="2"/>
  <c r="R21" i="2"/>
  <c r="S21" i="2" s="1"/>
  <c r="T21" i="2" s="1"/>
  <c r="U21" i="2" s="1"/>
  <c r="V21" i="2" s="1"/>
  <c r="Q21" i="2"/>
  <c r="P21" i="2"/>
  <c r="V19" i="2"/>
  <c r="U19" i="2"/>
  <c r="T19" i="2"/>
  <c r="S19" i="2"/>
  <c r="R19" i="2"/>
  <c r="Q19" i="2"/>
  <c r="P19" i="2"/>
  <c r="S16" i="2"/>
  <c r="T16" i="2" s="1"/>
  <c r="U16" i="2" s="1"/>
  <c r="V16" i="2" s="1"/>
  <c r="R16" i="2"/>
  <c r="Q16" i="2"/>
  <c r="Q13" i="2"/>
  <c r="R13" i="2" s="1"/>
  <c r="S13" i="2" s="1"/>
  <c r="T13" i="2" s="1"/>
  <c r="U13" i="2" s="1"/>
  <c r="V13" i="2" s="1"/>
  <c r="P13" i="2"/>
  <c r="Q12" i="2"/>
  <c r="P12" i="2"/>
  <c r="Q10" i="2"/>
  <c r="R10" i="2" s="1"/>
  <c r="S10" i="2" s="1"/>
  <c r="T10" i="2" s="1"/>
  <c r="U10" i="2" s="1"/>
  <c r="V10" i="2" s="1"/>
  <c r="P10" i="2"/>
  <c r="V24" i="2"/>
  <c r="U24" i="2"/>
  <c r="T24" i="2"/>
  <c r="S24" i="2"/>
  <c r="R24" i="2"/>
  <c r="Q24" i="2"/>
  <c r="P24" i="2"/>
  <c r="Q7" i="2"/>
  <c r="R7" i="2" s="1"/>
  <c r="S7" i="2" s="1"/>
  <c r="T7" i="2" s="1"/>
  <c r="U7" i="2" s="1"/>
  <c r="V7" i="2" s="1"/>
  <c r="P7" i="2"/>
  <c r="V6" i="2"/>
  <c r="U6" i="2"/>
  <c r="T6" i="2"/>
  <c r="S6" i="2"/>
  <c r="R6" i="2"/>
  <c r="Q6" i="2"/>
  <c r="P6" i="2"/>
  <c r="Q5" i="2"/>
  <c r="R5" i="2" s="1"/>
  <c r="S5" i="2" s="1"/>
  <c r="T5" i="2" s="1"/>
  <c r="U5" i="2" s="1"/>
  <c r="V5" i="2" s="1"/>
  <c r="P5" i="2"/>
  <c r="Q4" i="2"/>
  <c r="R4" i="2" s="1"/>
  <c r="S4" i="2" s="1"/>
  <c r="T4" i="2" s="1"/>
  <c r="U4" i="2" s="1"/>
  <c r="V4" i="2" s="1"/>
  <c r="P4" i="2"/>
  <c r="Q3" i="2"/>
  <c r="R3" i="2" s="1"/>
  <c r="P3" i="2"/>
  <c r="G6" i="1"/>
  <c r="G5" i="1"/>
  <c r="G4" i="1"/>
  <c r="G3" i="1"/>
  <c r="F7" i="1"/>
  <c r="N26" i="2"/>
  <c r="M26" i="2"/>
  <c r="N25" i="2"/>
  <c r="M25" i="2"/>
  <c r="N24" i="2"/>
  <c r="O24" i="2"/>
  <c r="N9" i="2"/>
  <c r="N11" i="2" s="1"/>
  <c r="M9" i="2"/>
  <c r="M11" i="2" s="1"/>
  <c r="O9" i="2"/>
  <c r="O11" i="2" s="1"/>
  <c r="O25" i="2" s="1"/>
  <c r="O14" i="2"/>
  <c r="N14" i="2"/>
  <c r="M14" i="2"/>
  <c r="O34" i="2"/>
  <c r="N2" i="2"/>
  <c r="O2" i="2" s="1"/>
  <c r="P2" i="2" s="1"/>
  <c r="Q2" i="2" s="1"/>
  <c r="R2" i="2" s="1"/>
  <c r="S2" i="2" s="1"/>
  <c r="T2" i="2" s="1"/>
  <c r="U2" i="2" s="1"/>
  <c r="V2" i="2" s="1"/>
  <c r="I29" i="2"/>
  <c r="I28" i="2"/>
  <c r="G30" i="2"/>
  <c r="F30" i="2"/>
  <c r="E30" i="2"/>
  <c r="D30" i="2"/>
  <c r="C30" i="2"/>
  <c r="H30" i="2"/>
  <c r="G32" i="2"/>
  <c r="G24" i="2"/>
  <c r="H32" i="2"/>
  <c r="H24" i="2"/>
  <c r="J14" i="2"/>
  <c r="I14" i="2"/>
  <c r="J11" i="2"/>
  <c r="I11" i="2"/>
  <c r="G14" i="2"/>
  <c r="F14" i="2"/>
  <c r="E14" i="2"/>
  <c r="D14" i="2"/>
  <c r="C14" i="2"/>
  <c r="H14" i="2"/>
  <c r="G11" i="2"/>
  <c r="G25" i="2" s="1"/>
  <c r="F11" i="2"/>
  <c r="E11" i="2"/>
  <c r="E25" i="2" s="1"/>
  <c r="D11" i="2"/>
  <c r="D25" i="2" s="1"/>
  <c r="C11" i="2"/>
  <c r="H11" i="2"/>
  <c r="H25" i="2" s="1"/>
  <c r="B5" i="1"/>
  <c r="B4" i="1"/>
  <c r="B7" i="1" s="1"/>
  <c r="Q14" i="2" l="1"/>
  <c r="P14" i="2"/>
  <c r="R12" i="2"/>
  <c r="P9" i="2"/>
  <c r="P11" i="2" s="1"/>
  <c r="S3" i="2"/>
  <c r="R9" i="2"/>
  <c r="R11" i="2" s="1"/>
  <c r="Q9" i="2"/>
  <c r="Q11" i="2" s="1"/>
  <c r="F15" i="2"/>
  <c r="F26" i="2" s="1"/>
  <c r="I30" i="2"/>
  <c r="O15" i="2"/>
  <c r="N15" i="2"/>
  <c r="N18" i="2" s="1"/>
  <c r="N20" i="2" s="1"/>
  <c r="N22" i="2" s="1"/>
  <c r="M15" i="2"/>
  <c r="M18" i="2" s="1"/>
  <c r="M20" i="2" s="1"/>
  <c r="M22" i="2" s="1"/>
  <c r="F25" i="2"/>
  <c r="D15" i="2"/>
  <c r="E15" i="2"/>
  <c r="H15" i="2"/>
  <c r="C15" i="2"/>
  <c r="C26" i="2" s="1"/>
  <c r="C25" i="2"/>
  <c r="G15" i="2"/>
  <c r="I15" i="2"/>
  <c r="I18" i="2" s="1"/>
  <c r="I20" i="2" s="1"/>
  <c r="I22" i="2" s="1"/>
  <c r="J15" i="2"/>
  <c r="J18" i="2" s="1"/>
  <c r="J20" i="2" s="1"/>
  <c r="J22" i="2" s="1"/>
  <c r="R14" i="2" l="1"/>
  <c r="R15" i="2" s="1"/>
  <c r="S12" i="2"/>
  <c r="P15" i="2"/>
  <c r="P25" i="2"/>
  <c r="R25" i="2"/>
  <c r="Q15" i="2"/>
  <c r="Q25" i="2"/>
  <c r="T3" i="2"/>
  <c r="S9" i="2"/>
  <c r="S11" i="2" s="1"/>
  <c r="O18" i="2"/>
  <c r="O20" i="2" s="1"/>
  <c r="O22" i="2" s="1"/>
  <c r="O26" i="2"/>
  <c r="F18" i="2"/>
  <c r="F20" i="2" s="1"/>
  <c r="F22" i="2" s="1"/>
  <c r="H18" i="2"/>
  <c r="H20" i="2" s="1"/>
  <c r="H22" i="2" s="1"/>
  <c r="H26" i="2"/>
  <c r="E18" i="2"/>
  <c r="E20" i="2" s="1"/>
  <c r="E22" i="2" s="1"/>
  <c r="E26" i="2"/>
  <c r="D18" i="2"/>
  <c r="D20" i="2" s="1"/>
  <c r="D22" i="2" s="1"/>
  <c r="D26" i="2"/>
  <c r="C18" i="2"/>
  <c r="C20" i="2" s="1"/>
  <c r="C22" i="2" s="1"/>
  <c r="G26" i="2"/>
  <c r="G18" i="2"/>
  <c r="G20" i="2" s="1"/>
  <c r="G22" i="2" s="1"/>
  <c r="S14" i="2" l="1"/>
  <c r="S15" i="2" s="1"/>
  <c r="T12" i="2"/>
  <c r="S25" i="2"/>
  <c r="Q18" i="2"/>
  <c r="Q20" i="2" s="1"/>
  <c r="Q22" i="2" s="1"/>
  <c r="Q26" i="2"/>
  <c r="R18" i="2"/>
  <c r="R20" i="2" s="1"/>
  <c r="R22" i="2" s="1"/>
  <c r="R26" i="2"/>
  <c r="P18" i="2"/>
  <c r="P20" i="2" s="1"/>
  <c r="P22" i="2" s="1"/>
  <c r="P26" i="2"/>
  <c r="U3" i="2"/>
  <c r="T9" i="2"/>
  <c r="T11" i="2" s="1"/>
  <c r="U12" i="2" l="1"/>
  <c r="T14" i="2"/>
  <c r="T15" i="2" s="1"/>
  <c r="T25" i="2"/>
  <c r="S18" i="2"/>
  <c r="S20" i="2" s="1"/>
  <c r="S22" i="2" s="1"/>
  <c r="S26" i="2"/>
  <c r="V3" i="2"/>
  <c r="V9" i="2" s="1"/>
  <c r="V11" i="2" s="1"/>
  <c r="U9" i="2"/>
  <c r="U11" i="2" s="1"/>
  <c r="V12" i="2" l="1"/>
  <c r="V14" i="2" s="1"/>
  <c r="V15" i="2" s="1"/>
  <c r="U14" i="2"/>
  <c r="U15" i="2" s="1"/>
  <c r="U25" i="2"/>
  <c r="V25" i="2"/>
  <c r="T18" i="2"/>
  <c r="T20" i="2" s="1"/>
  <c r="T22" i="2" s="1"/>
  <c r="T26" i="2"/>
  <c r="U18" i="2" l="1"/>
  <c r="U20" i="2" s="1"/>
  <c r="U22" i="2" s="1"/>
  <c r="U26" i="2"/>
  <c r="V18" i="2"/>
  <c r="V20" i="2" s="1"/>
  <c r="V22" i="2" s="1"/>
  <c r="V26" i="2"/>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<sst xmlns="http://schemas.openxmlformats.org/spreadsheetml/2006/main" count="57" uniqueCount="54">
  <si>
    <t>ticket</t>
  </si>
  <si>
    <t>price</t>
  </si>
  <si>
    <t>shares</t>
  </si>
  <si>
    <t>mc</t>
  </si>
  <si>
    <t>cash</t>
  </si>
  <si>
    <t>debt</t>
  </si>
  <si>
    <t>ev</t>
  </si>
  <si>
    <t>income statement</t>
  </si>
  <si>
    <t>Q2 2023</t>
  </si>
  <si>
    <t>Q1 2023</t>
  </si>
  <si>
    <t>Q3 2023</t>
  </si>
  <si>
    <t>Q4 2023</t>
  </si>
  <si>
    <t>Revenue</t>
  </si>
  <si>
    <t>COGS</t>
  </si>
  <si>
    <t>Gross Profit</t>
  </si>
  <si>
    <t>Demand creation expense</t>
  </si>
  <si>
    <t>Operating overhead expense</t>
  </si>
  <si>
    <t>Total Opex</t>
  </si>
  <si>
    <t>Net Interest</t>
  </si>
  <si>
    <t>Other income</t>
  </si>
  <si>
    <t>Pretax Income</t>
  </si>
  <si>
    <t>Taxes</t>
  </si>
  <si>
    <t>Net Income</t>
  </si>
  <si>
    <t>Operating Income</t>
  </si>
  <si>
    <t>Shares</t>
  </si>
  <si>
    <t>EPS</t>
  </si>
  <si>
    <t>Revenue Y/Y</t>
  </si>
  <si>
    <t>Gross Margin</t>
  </si>
  <si>
    <t>Operating Margin</t>
  </si>
  <si>
    <t>Net cash</t>
  </si>
  <si>
    <t>CFFO</t>
  </si>
  <si>
    <t>CAPEX</t>
  </si>
  <si>
    <t>FCF</t>
  </si>
  <si>
    <t>Total Stores</t>
  </si>
  <si>
    <t>employees</t>
  </si>
  <si>
    <t>Q1 2024</t>
  </si>
  <si>
    <t>Q2 2024</t>
  </si>
  <si>
    <t>Q3 2024</t>
  </si>
  <si>
    <t>Q4 2024</t>
  </si>
  <si>
    <t>Footwear</t>
  </si>
  <si>
    <t>Apparel</t>
  </si>
  <si>
    <t>Equipment</t>
  </si>
  <si>
    <t>Global Brands Division</t>
  </si>
  <si>
    <t>Converse</t>
  </si>
  <si>
    <t>Corporate</t>
  </si>
  <si>
    <t>Revenue by geography</t>
  </si>
  <si>
    <t>NA</t>
  </si>
  <si>
    <t>EMEA</t>
  </si>
  <si>
    <t>APLA</t>
  </si>
  <si>
    <t>China</t>
  </si>
  <si>
    <t>Discount</t>
  </si>
  <si>
    <t>Maturity</t>
  </si>
  <si>
    <t>NPV</t>
  </si>
  <si>
    <t>net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</si>
</sst>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_([$$-409]* \(#,##0.00\);_([$$-409]* &quot;-&quot;??_);_(@_)"/>
    <numFmt numFmtId="165" formatCode="_-[$$-409]* #,##0.00_ ;_-[$$-409]* \-#,##0.00\ ;_-[$$-409]* &quot;-&quot;??_ ;_-@_ "/>
    <numFmt numFmtId="166" formatCode="0.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64" fontId="0" fillId="0" borderId="0" xfId="0" applyNumberFormat="1"/>
    <xf numFmtId="165" fontId="0" fillId="0" borderId="0" xfId="0" applyNumberFormat="1"/>
    <xf numFmtId="0" fontId="2" fillId="0" borderId="0" xfId="0" applyFont="1"/>
    <xf numFmtId="166" fontId="0" fillId="0" borderId="0" xfId="1" applyNumberFormat="1" applyFont="1"/>
    <xf numFmtId="9" fontId="0" fillId="0" borderId="0" xfId="0" applyNumberFormat="1"/>
    <xf numFmtId="3" fontId="0" fillId="0" borderId="0" xfId="0" applyNumberFormat="1"/>
    <xf numFmtId="3" fontId="2"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drawings/drawing1.xml><?xml version="1.0" encoding="utf-8"?>
<xdr:wsDr xmlns:xdr="http://schemas.openxmlformats.org/drawingml/2006/spreadsheetDrawing" xmlns:a="http://schemas.openxmlformats.org/drawingml/2006/main">
  <xdr:twoCellAnchor>
    <xdr:from>
      <xdr:col>15</xdr:col>
      <xdr:colOff>0</xdr:colOff>
      <xdr:row>0</xdr:row>
      <xdr:rowOff>60960</xdr:rowOff>
    </xdr:from>
    <xdr:to>
      <xdr:col>15</xdr:col>
      <xdr:colOff>7620</xdr:colOff>
      <xdr:row>25</xdr:row>
      <xdr:rowOff>38100</xdr:rowOff>
    </xdr:to>
    <xdr:cxnSp macro="">
      <xdr:nvCxnSpPr>
        <xdr:cNvPr id="3" name="Straight Connector 2">
          <a:extLst>
            <a:ext uri="{FF2B5EF4-FFF2-40B4-BE49-F238E27FC236}">
              <a16:creationId xmlns:a16="http://schemas.microsoft.com/office/drawing/2014/main" id="{1D02F24A-6CC8-A7BB-8B1D-C98DC2C35DF7}"/>
            </a:ext>
          </a:extLst>
        </xdr:cNvPr>
        <xdr:cNvCxnSpPr/>
      </xdr:nvCxnSpPr>
      <xdr:spPr>
        <a:xfrm flipH="1">
          <a:off x="10119360" y="60960"/>
          <a:ext cx="7620" cy="44348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https://www.bing.com/financeapi/forcetrigger?t=a1yjxm&amp;q=XNYS%3aNKE&amp;form=skydnc</v>
    <v>Learn more on Bing</v>
  </rv>
  <rv s="1">
    <v>en-GB</v>
    <v>a1yjxm</v>
    <v>268435456</v>
    <v>1</v>
    <v>Powered by Refinitiv</v>
    <v>0</v>
    <v>NIKE, INC. (XNYS:NKE)</v>
    <v>2</v>
    <v>3</v>
    <v>Finance</v>
    <v>4</v>
    <v>128.68</v>
    <v>88.66</v>
    <v>1.1064000000000001</v>
    <v>0.73</v>
    <v>-9.569E-5</v>
    <v>7.0350000000000005E-3</v>
    <v>-0.01</v>
    <v>USD</v>
    <v>NIKE, Inc. is engaged in the designing, marketing and distributing of athletic footwear, apparel, equipment and accessories and services for sports and fitness activities. The Company's operating segments include North America; Europe, Middle East &amp; Africa (EMEA); Greater China; and Asia Pacific &amp; Latin America (APLA). It sells a line of equipment and accessories under the NIKE Brand name, including bags, socks, sport balls, eyewear, timepieces, digital devices, bats, gloves, protective equipment and other equipment designed for sports activities. It also designs products specifically for the Jordan Brand and Converse. The Jordan Brand designs, distributes and licenses athletic and casual footwear, apparel and accessories predominantly focused on basketball performance and culture using the Jumpman trademark. The Company also designs, distributes and licenses casual sneakers, apparel and accessories under the Chuck Taylor, All Star, One Star, Star Chevron and Jack Purcell trademarks.</v>
    <v>83700</v>
    <v>New York Stock Exchange</v>
    <v>XNYS</v>
    <v>XNYS</v>
    <v>One Bowerman Dr, BEAVERTON, OR, 97005-6453 US</v>
    <v>104.94</v>
    <v>Textiles &amp; Apparel</v>
    <v>Stock</v>
    <v>45331.905346492968</v>
    <v>0</v>
    <v>103.33</v>
    <v>158330300000</v>
    <v>NIKE, INC.</v>
    <v>NIKE, INC.</v>
    <v>103.8</v>
    <v>30.297899999999998</v>
    <v>103.77</v>
    <v>104.5</v>
    <v>104.49</v>
    <v>1515122000</v>
    <v>NKE</v>
    <v>NIKE, INC. (XNYS:NKE)</v>
    <v>5449022</v>
    <v>8896143</v>
    <v>1969</v>
  </rv>
  <rv s="2">
    <v>1</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v>1</v>
      <v>1</v>
      <v>5</v>
    </spb>
    <spb s="4">
      <v>at close</v>
      <v>from previous close</v>
      <v>from previous close</v>
      <v>Source: Nasdaq Last Sale</v>
      <v>GMT</v>
      <v>Real-Time Nasdaq Last Sale</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dd/mm/yyyy\ h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6D6F-CD42-46B1-B453-95275DB8B965}">
  <dimension ref="A1:G9"/>
  <sheetViews>
    <sheetView workbookViewId="0">
      <selection activeCell="B7" sqref="B7"/>
    </sheetView>
  </sheetViews>
  <sheetFormatPr defaultRowHeight="15" x14ac:dyDescent="0.25"/>
  <cols>
    <col min="2" max="2" width="11.85546875" bestFit="1" customWidth="1"/>
    <col min="5" max="5" width="18.7109375" bestFit="1" customWidth="1"/>
  </cols>
  <sheetData>
    <row r="1" spans="1:7" x14ac:dyDescent="0.25">
      <c r="A1" t="s">
        <v>0</v>
      </c>
      <c r="B1" t="e" vm="1">
        <v>#VALUE!</v>
      </c>
    </row>
    <row r="2" spans="1:7" x14ac:dyDescent="0.25">
      <c r="A2" t="s">
        <v>1</v>
      </c>
      <c r="B2" s="1">
        <v>72</v>
      </c>
      <c r="E2" t="s">
        <v>45</v>
      </c>
    </row>
    <row r="3" spans="1:7" x14ac:dyDescent="0.25">
      <c r="A3" t="s">
        <v>2</v>
      </c>
      <c r="B3">
        <v>1515.1220679999999</v>
      </c>
      <c r="E3" t="s">
        <v>46</v>
      </c>
      <c r="F3">
        <v>21608</v>
      </c>
      <c r="G3" s="4">
        <f>F3/$F$7</f>
        <v>0.44365054922492558</v>
      </c>
    </row>
    <row r="4" spans="1:7" x14ac:dyDescent="0.25">
      <c r="A4" t="s">
        <v>3</v>
      </c>
      <c r="B4" s="2">
        <f>B2*B3</f>
        <v>109088.788896</v>
      </c>
      <c r="E4" t="s">
        <v>47</v>
      </c>
      <c r="F4">
        <v>13418</v>
      </c>
      <c r="G4" s="4">
        <f t="shared" ref="G4:G6" si="0">F4/$F$7</f>
        <v>0.27549532902166102</v>
      </c>
    </row>
    <row r="5" spans="1:7" x14ac:dyDescent="0.25">
      <c r="A5" t="s">
        <v>4</v>
      </c>
      <c r="B5">
        <f>7919+2008</f>
        <v>9927</v>
      </c>
      <c r="E5" t="s">
        <v>49</v>
      </c>
      <c r="F5">
        <v>7248</v>
      </c>
      <c r="G5" s="4">
        <f t="shared" si="0"/>
        <v>0.14881429011395134</v>
      </c>
    </row>
    <row r="6" spans="1:7" x14ac:dyDescent="0.25">
      <c r="A6" t="s">
        <v>5</v>
      </c>
      <c r="B6">
        <v>8930</v>
      </c>
      <c r="E6" t="s">
        <v>48</v>
      </c>
      <c r="F6">
        <v>6431</v>
      </c>
      <c r="G6" s="4">
        <f t="shared" si="0"/>
        <v>0.13203983163946206</v>
      </c>
    </row>
    <row r="7" spans="1:7" x14ac:dyDescent="0.25">
      <c r="A7" t="s">
        <v>6</v>
      </c>
      <c r="B7" s="2">
        <f>B4-B5+B6</f>
        <v>108091.788896</v>
      </c>
      <c r="F7">
        <f>SUM(F3:F6)</f>
        <v>48705</v>
      </c>
    </row>
    <row r="9" spans="1:7" x14ac:dyDescent="0.25">
      <c r="A9" t="s">
        <v>34</v>
      </c>
      <c r="B9">
        <v>83700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C9C45-81CF-4D9E-9EB2-EB7EB1138A6C}">
  <dimension ref="B1:CJ34"/>
  <sheetViews>
    <sheetView tabSelected="1" zoomScale="90" zoomScaleNormal="90" workbookViewId="0">
      <pane xSplit="2" ySplit="2" topLeftCell="C3" activePane="bottomRight" state="frozen"/>
      <selection pane="topRight" activeCell="C1" sqref="C1"/>
      <selection pane="bottomLeft" activeCell="A3" sqref="A3"/>
      <selection pane="bottomRight" activeCell="O9" sqref="O9"/>
    </sheetView>
  </sheetViews>
  <sheetFormatPr defaultRowHeight="15" x14ac:dyDescent="0.25"/>
  <cols>
    <col min="1" max="1" width="1.28515625" customWidth="1"/>
    <col min="2" max="2" width="24" bestFit="1" customWidth="1"/>
    <col min="3" max="3" width="15.5703125" customWidth="1"/>
    <col min="25" max="25" width="13" bestFit="1" customWidth="1"/>
  </cols>
  <sheetData>
    <row r="1" spans="2:25" ht="5.45" customHeight="1" x14ac:dyDescent="0.25"/>
    <row r="2" spans="2:25" x14ac:dyDescent="0.25">
      <c r="B2" s="3" t="s">
        <v>7</v>
      </c>
      <c r="C2" s="3" t="s">
        <v>9</v>
      </c>
      <c r="D2" s="3" t="s">
        <v>8</v>
      </c>
      <c r="E2" s="3" t="s">
        <v>10</v>
      </c>
      <c r="F2" s="3" t="s">
        <v>11</v>
      </c>
      <c r="G2" s="3" t="s">
        <v>35</v>
      </c>
      <c r="H2" s="3" t="s">
        <v>36</v>
      </c>
      <c r="I2" s="3" t="s">
        <v>37</v>
      </c>
      <c r="J2" s="3" t="s">
        <v>38</v>
      </c>
      <c r="M2" s="3">
        <v>2021</v>
      </c>
      <c r="N2" s="3">
        <f>M2+1</f>
        <v>2022</v>
      </c>
      <c r="O2" s="3">
        <f t="shared" ref="O2:V2" si="0">N2+1</f>
        <v>2023</v>
      </c>
      <c r="P2" s="3">
        <f t="shared" si="0"/>
        <v>2024</v>
      </c>
      <c r="Q2" s="3">
        <f t="shared" si="0"/>
        <v>2025</v>
      </c>
      <c r="R2" s="3">
        <f t="shared" si="0"/>
        <v>2026</v>
      </c>
      <c r="S2" s="3">
        <f t="shared" si="0"/>
        <v>2027</v>
      </c>
      <c r="T2" s="3">
        <f t="shared" si="0"/>
        <v>2028</v>
      </c>
      <c r="U2" s="3">
        <f t="shared" si="0"/>
        <v>2029</v>
      </c>
      <c r="V2" s="3">
        <f t="shared" si="0"/>
        <v>2030</v>
      </c>
    </row>
    <row r="3" spans="2:25" x14ac:dyDescent="0.25">
      <c r="B3" t="s">
        <v>39</v>
      </c>
      <c r="C3" s="7"/>
      <c r="D3" s="7"/>
      <c r="E3" s="7"/>
      <c r="F3" s="7"/>
      <c r="G3" s="7"/>
      <c r="H3" s="7"/>
      <c r="I3" s="7"/>
      <c r="J3" s="7"/>
      <c r="M3" s="6">
        <v>28021</v>
      </c>
      <c r="N3" s="6">
        <v>29143</v>
      </c>
      <c r="O3" s="6">
        <v>33135</v>
      </c>
      <c r="P3" s="6">
        <f>O3*1.09</f>
        <v>36117.15</v>
      </c>
      <c r="Q3" s="6">
        <f t="shared" ref="Q3:V3" si="1">P3*1.09</f>
        <v>39367.693500000001</v>
      </c>
      <c r="R3" s="6">
        <f t="shared" si="1"/>
        <v>42910.785915000008</v>
      </c>
      <c r="S3" s="6">
        <f t="shared" si="1"/>
        <v>46772.756647350012</v>
      </c>
      <c r="T3" s="6">
        <f t="shared" si="1"/>
        <v>50982.304745611516</v>
      </c>
      <c r="U3" s="6">
        <f t="shared" si="1"/>
        <v>55570.712172716558</v>
      </c>
      <c r="V3" s="6">
        <f t="shared" si="1"/>
        <v>60572.076268261051</v>
      </c>
      <c r="X3" t="s">
        <v>50</v>
      </c>
      <c r="Y3" s="5">
        <v>0.08</v>
      </c>
    </row>
    <row r="4" spans="2:25" x14ac:dyDescent="0.25">
      <c r="B4" t="s">
        <v>40</v>
      </c>
      <c r="C4" s="7"/>
      <c r="D4" s="7"/>
      <c r="E4" s="7"/>
      <c r="F4" s="7"/>
      <c r="G4" s="7"/>
      <c r="H4" s="7"/>
      <c r="I4" s="7"/>
      <c r="J4" s="7"/>
      <c r="M4" s="6">
        <v>12865</v>
      </c>
      <c r="N4" s="6">
        <v>13567</v>
      </c>
      <c r="O4" s="6">
        <v>13843</v>
      </c>
      <c r="P4" s="6">
        <f>O4*1.03</f>
        <v>14258.29</v>
      </c>
      <c r="Q4" s="6">
        <f t="shared" ref="Q4:V4" si="2">P4*1.03</f>
        <v>14686.038700000001</v>
      </c>
      <c r="R4" s="6">
        <f t="shared" si="2"/>
        <v>15126.619861000001</v>
      </c>
      <c r="S4" s="6">
        <f t="shared" si="2"/>
        <v>15580.418456830001</v>
      </c>
      <c r="T4" s="6">
        <f t="shared" si="2"/>
        <v>16047.831010534901</v>
      </c>
      <c r="U4" s="6">
        <f t="shared" si="2"/>
        <v>16529.26594085095</v>
      </c>
      <c r="V4" s="6">
        <f t="shared" si="2"/>
        <v>17025.14391907648</v>
      </c>
      <c r="X4" t="s">
        <v>51</v>
      </c>
      <c r="Y4" s="5">
        <v>0.01</v>
      </c>
    </row>
    <row r="5" spans="2:25" x14ac:dyDescent="0.25">
      <c r="B5" t="s">
        <v>41</v>
      </c>
      <c r="C5" s="7"/>
      <c r="D5" s="7"/>
      <c r="E5" s="7"/>
      <c r="F5" s="7"/>
      <c r="G5" s="7"/>
      <c r="H5" s="7"/>
      <c r="I5" s="7"/>
      <c r="J5" s="7"/>
      <c r="M5" s="6">
        <v>1382</v>
      </c>
      <c r="N5" s="6">
        <v>1624</v>
      </c>
      <c r="O5" s="6">
        <v>1727</v>
      </c>
      <c r="P5" s="6">
        <f>O5*1.03</f>
        <v>1778.81</v>
      </c>
      <c r="Q5" s="6">
        <f t="shared" ref="Q5:V5" si="3">P5*1.03</f>
        <v>1832.1742999999999</v>
      </c>
      <c r="R5" s="6">
        <f t="shared" si="3"/>
        <v>1887.139529</v>
      </c>
      <c r="S5" s="6">
        <f t="shared" si="3"/>
        <v>1943.7537148700001</v>
      </c>
      <c r="T5" s="6">
        <f t="shared" si="3"/>
        <v>2002.0663263161002</v>
      </c>
      <c r="U5" s="6">
        <f t="shared" si="3"/>
        <v>2062.1283161055835</v>
      </c>
      <c r="V5" s="6">
        <f t="shared" si="3"/>
        <v>2123.992165588751</v>
      </c>
      <c r="X5" t="s">
        <v>52</v>
      </c>
      <c r="Y5" s="2">
        <f>NPV(Y3,P20:CJ20)</f>
        <v>151680.61551265928</v>
      </c>
    </row>
    <row r="6" spans="2:25" x14ac:dyDescent="0.25">
      <c r="B6" t="s">
        <v>42</v>
      </c>
      <c r="C6" s="7"/>
      <c r="D6" s="7"/>
      <c r="E6" s="7"/>
      <c r="F6" s="7"/>
      <c r="G6" s="7"/>
      <c r="H6" s="7"/>
      <c r="I6" s="7"/>
      <c r="J6" s="7"/>
      <c r="M6" s="6">
        <v>25</v>
      </c>
      <c r="N6" s="6">
        <v>102</v>
      </c>
      <c r="O6" s="6">
        <v>58</v>
      </c>
      <c r="P6" s="6">
        <f>70</f>
        <v>70</v>
      </c>
      <c r="Q6" s="6">
        <f>70</f>
        <v>70</v>
      </c>
      <c r="R6" s="6">
        <f>70</f>
        <v>70</v>
      </c>
      <c r="S6" s="6">
        <f>70</f>
        <v>70</v>
      </c>
      <c r="T6" s="6">
        <f>70</f>
        <v>70</v>
      </c>
      <c r="U6" s="6">
        <f>70</f>
        <v>70</v>
      </c>
      <c r="V6" s="6">
        <f>70</f>
        <v>70</v>
      </c>
      <c r="X6" t="s">
        <v>53</v>
      </c>
      <c r="Y6">
        <f>Sheet1!B5-Sheet1!B6</f>
        <v>997</v>
      </c>
    </row>
    <row r="7" spans="2:25" x14ac:dyDescent="0.25">
      <c r="B7" t="s">
        <v>43</v>
      </c>
      <c r="C7" s="7"/>
      <c r="D7" s="7"/>
      <c r="E7" s="7"/>
      <c r="F7" s="7"/>
      <c r="G7" s="7"/>
      <c r="H7" s="7"/>
      <c r="I7" s="7"/>
      <c r="J7" s="7"/>
      <c r="M7" s="6">
        <v>2205</v>
      </c>
      <c r="N7" s="6">
        <v>2346</v>
      </c>
      <c r="O7" s="6">
        <v>2427</v>
      </c>
      <c r="P7" s="6">
        <f>O7*1.025</f>
        <v>2487.6749999999997</v>
      </c>
      <c r="Q7" s="6">
        <f t="shared" ref="Q7:V7" si="4">P7*1.025</f>
        <v>2549.8668749999997</v>
      </c>
      <c r="R7" s="6">
        <f t="shared" si="4"/>
        <v>2613.6135468749994</v>
      </c>
      <c r="S7" s="6">
        <f t="shared" si="4"/>
        <v>2678.9538855468741</v>
      </c>
      <c r="T7" s="6">
        <f t="shared" si="4"/>
        <v>2745.9277326855458</v>
      </c>
      <c r="U7" s="6">
        <f t="shared" si="4"/>
        <v>2814.5759260026844</v>
      </c>
      <c r="V7" s="6">
        <f t="shared" si="4"/>
        <v>2884.9403241527511</v>
      </c>
      <c r="X7" t="s">
        <v>6</v>
      </c>
      <c r="Y7" s="2">
        <f>Y5+Y6</f>
        <v>152677.61551265928</v>
      </c>
    </row>
    <row r="8" spans="2:25" x14ac:dyDescent="0.25">
      <c r="B8" t="s">
        <v>44</v>
      </c>
      <c r="C8" s="7"/>
      <c r="D8" s="7"/>
      <c r="E8" s="7"/>
      <c r="F8" s="7"/>
      <c r="G8" s="7"/>
      <c r="H8" s="7"/>
      <c r="I8" s="7"/>
      <c r="J8" s="7"/>
      <c r="M8" s="6">
        <v>40</v>
      </c>
      <c r="N8" s="6">
        <v>-72</v>
      </c>
      <c r="O8" s="6">
        <v>27</v>
      </c>
      <c r="P8" s="6">
        <v>30</v>
      </c>
      <c r="Q8" s="6">
        <v>30</v>
      </c>
      <c r="R8" s="6">
        <v>30</v>
      </c>
      <c r="S8" s="6">
        <v>30</v>
      </c>
      <c r="T8" s="6">
        <v>30</v>
      </c>
      <c r="U8" s="6">
        <v>30</v>
      </c>
      <c r="V8" s="6">
        <v>30</v>
      </c>
      <c r="X8" t="s">
        <v>2</v>
      </c>
      <c r="Y8">
        <f>H21</f>
        <v>1532.1</v>
      </c>
    </row>
    <row r="9" spans="2:25" x14ac:dyDescent="0.25">
      <c r="B9" t="s">
        <v>12</v>
      </c>
      <c r="C9" s="6">
        <v>12687</v>
      </c>
      <c r="D9" s="6">
        <v>13315</v>
      </c>
      <c r="E9" s="6"/>
      <c r="F9" s="6"/>
      <c r="G9" s="6">
        <v>12939</v>
      </c>
      <c r="H9" s="6">
        <v>13388</v>
      </c>
      <c r="I9" s="6"/>
      <c r="J9" s="6"/>
      <c r="M9" s="6">
        <f t="shared" ref="M9:N9" si="5">SUM(M3:M8)</f>
        <v>44538</v>
      </c>
      <c r="N9" s="6">
        <f t="shared" si="5"/>
        <v>46710</v>
      </c>
      <c r="O9" s="6">
        <f>SUM(O3:O8)</f>
        <v>51217</v>
      </c>
      <c r="P9" s="6">
        <f t="shared" ref="P9:V9" si="6">SUM(P3:P8)</f>
        <v>54741.925000000003</v>
      </c>
      <c r="Q9" s="6">
        <f t="shared" si="6"/>
        <v>58535.773374999997</v>
      </c>
      <c r="R9" s="6">
        <f t="shared" si="6"/>
        <v>62638.158851875007</v>
      </c>
      <c r="S9" s="6">
        <f t="shared" si="6"/>
        <v>67075.882704596894</v>
      </c>
      <c r="T9" s="6">
        <f t="shared" si="6"/>
        <v>71878.129815148073</v>
      </c>
      <c r="U9" s="6">
        <f t="shared" si="6"/>
        <v>77076.682355675774</v>
      </c>
      <c r="V9" s="6">
        <f t="shared" si="6"/>
        <v>82706.152677079022</v>
      </c>
      <c r="X9" t="s">
        <v>1</v>
      </c>
      <c r="Y9" s="2">
        <f>Y7/Y8</f>
        <v>99.652513225415632</v>
      </c>
    </row>
    <row r="10" spans="2:25" x14ac:dyDescent="0.25">
      <c r="B10" t="s">
        <v>13</v>
      </c>
      <c r="C10" s="6">
        <v>7072</v>
      </c>
      <c r="D10" s="6">
        <v>7604</v>
      </c>
      <c r="E10" s="6"/>
      <c r="F10" s="6"/>
      <c r="G10" s="6">
        <v>7219</v>
      </c>
      <c r="H10" s="6">
        <v>7417</v>
      </c>
      <c r="I10" s="6"/>
      <c r="J10" s="6"/>
      <c r="M10" s="6">
        <v>24576</v>
      </c>
      <c r="N10" s="6">
        <v>25231</v>
      </c>
      <c r="O10" s="6">
        <v>28925</v>
      </c>
      <c r="P10" s="6">
        <f>O10*1.055</f>
        <v>30515.875</v>
      </c>
      <c r="Q10" s="6">
        <f t="shared" ref="Q10:V10" si="7">P10*1.055</f>
        <v>32194.248124999998</v>
      </c>
      <c r="R10" s="6">
        <f t="shared" si="7"/>
        <v>33964.931771874995</v>
      </c>
      <c r="S10" s="6">
        <f t="shared" si="7"/>
        <v>35833.00301932812</v>
      </c>
      <c r="T10" s="6">
        <f t="shared" si="7"/>
        <v>37803.818185391166</v>
      </c>
      <c r="U10" s="6">
        <f t="shared" si="7"/>
        <v>39883.028185587675</v>
      </c>
      <c r="V10" s="6">
        <f t="shared" si="7"/>
        <v>42076.594735794992</v>
      </c>
      <c r="Y10" s="2">
        <f>Y9*0.85</f>
        <v>84.704636241603282</v>
      </c>
    </row>
    <row r="11" spans="2:25" x14ac:dyDescent="0.25">
      <c r="B11" s="3" t="s">
        <v>14</v>
      </c>
      <c r="C11" s="7">
        <f t="shared" ref="C11:G11" si="8">C9-C10</f>
        <v>5615</v>
      </c>
      <c r="D11" s="7">
        <f t="shared" si="8"/>
        <v>5711</v>
      </c>
      <c r="E11" s="7">
        <f t="shared" si="8"/>
        <v>0</v>
      </c>
      <c r="F11" s="7">
        <f t="shared" si="8"/>
        <v>0</v>
      </c>
      <c r="G11" s="7">
        <f t="shared" si="8"/>
        <v>5720</v>
      </c>
      <c r="H11" s="7">
        <f>H9-H10</f>
        <v>5971</v>
      </c>
      <c r="I11" s="7">
        <f t="shared" ref="I11:J11" si="9">I9-I10</f>
        <v>0</v>
      </c>
      <c r="J11" s="7">
        <f t="shared" si="9"/>
        <v>0</v>
      </c>
      <c r="M11" s="7">
        <f t="shared" ref="M11:V11" si="10">M9-M10</f>
        <v>19962</v>
      </c>
      <c r="N11" s="7">
        <f t="shared" si="10"/>
        <v>21479</v>
      </c>
      <c r="O11" s="7">
        <f t="shared" si="10"/>
        <v>22292</v>
      </c>
      <c r="P11" s="7">
        <f t="shared" si="10"/>
        <v>24226.050000000003</v>
      </c>
      <c r="Q11" s="7">
        <f t="shared" si="10"/>
        <v>26341.525249999999</v>
      </c>
      <c r="R11" s="7">
        <f t="shared" si="10"/>
        <v>28673.227080000011</v>
      </c>
      <c r="S11" s="7">
        <f t="shared" si="10"/>
        <v>31242.879685268774</v>
      </c>
      <c r="T11" s="7">
        <f t="shared" si="10"/>
        <v>34074.311629756907</v>
      </c>
      <c r="U11" s="7">
        <f t="shared" si="10"/>
        <v>37193.654170088099</v>
      </c>
      <c r="V11" s="7">
        <f t="shared" si="10"/>
        <v>40629.557941284031</v>
      </c>
    </row>
    <row r="12" spans="2:25" x14ac:dyDescent="0.25">
      <c r="B12" t="s">
        <v>15</v>
      </c>
      <c r="C12" s="6">
        <v>943</v>
      </c>
      <c r="D12" s="6">
        <v>1102</v>
      </c>
      <c r="E12" s="6"/>
      <c r="F12" s="6"/>
      <c r="G12" s="6">
        <v>1069</v>
      </c>
      <c r="H12" s="6">
        <v>1114</v>
      </c>
      <c r="I12" s="6"/>
      <c r="J12" s="6"/>
      <c r="M12" s="6">
        <v>3114</v>
      </c>
      <c r="N12" s="6">
        <v>3850</v>
      </c>
      <c r="O12" s="6">
        <v>4060</v>
      </c>
      <c r="P12" s="6">
        <f>O12*1.05</f>
        <v>4263</v>
      </c>
      <c r="Q12" s="6">
        <f t="shared" ref="Q12:V12" si="11">P12*1.05</f>
        <v>4476.1500000000005</v>
      </c>
      <c r="R12" s="6">
        <f t="shared" si="11"/>
        <v>4699.9575000000004</v>
      </c>
      <c r="S12" s="6">
        <f t="shared" si="11"/>
        <v>4934.9553750000005</v>
      </c>
      <c r="T12" s="6">
        <f t="shared" si="11"/>
        <v>5181.7031437500009</v>
      </c>
      <c r="U12" s="6">
        <f t="shared" si="11"/>
        <v>5440.7883009375009</v>
      </c>
      <c r="V12" s="6">
        <f t="shared" si="11"/>
        <v>5712.8277159843765</v>
      </c>
    </row>
    <row r="13" spans="2:25" x14ac:dyDescent="0.25">
      <c r="B13" t="s">
        <v>16</v>
      </c>
      <c r="C13" s="6">
        <v>2977</v>
      </c>
      <c r="D13" s="6">
        <v>3022</v>
      </c>
      <c r="E13" s="6"/>
      <c r="F13" s="6"/>
      <c r="G13" s="6">
        <v>3047</v>
      </c>
      <c r="H13" s="6">
        <v>3032</v>
      </c>
      <c r="I13" s="6"/>
      <c r="J13" s="6"/>
      <c r="M13" s="6">
        <v>9911</v>
      </c>
      <c r="N13" s="6">
        <v>10954</v>
      </c>
      <c r="O13" s="6">
        <v>12317</v>
      </c>
      <c r="P13" s="6">
        <f>O13*1.06</f>
        <v>13056.02</v>
      </c>
      <c r="Q13" s="6">
        <f t="shared" ref="Q13:V13" si="12">P13*1.06</f>
        <v>13839.381200000002</v>
      </c>
      <c r="R13" s="6">
        <f t="shared" si="12"/>
        <v>14669.744072000003</v>
      </c>
      <c r="S13" s="6">
        <f t="shared" si="12"/>
        <v>15549.928716320004</v>
      </c>
      <c r="T13" s="6">
        <f t="shared" si="12"/>
        <v>16482.924439299204</v>
      </c>
      <c r="U13" s="6">
        <f t="shared" si="12"/>
        <v>17471.899905657156</v>
      </c>
      <c r="V13" s="6">
        <f t="shared" si="12"/>
        <v>18520.213899996586</v>
      </c>
    </row>
    <row r="14" spans="2:25" x14ac:dyDescent="0.25">
      <c r="B14" t="s">
        <v>17</v>
      </c>
      <c r="C14" s="6">
        <f t="shared" ref="C14:G14" si="13">C12+C13</f>
        <v>3920</v>
      </c>
      <c r="D14" s="6">
        <f t="shared" si="13"/>
        <v>4124</v>
      </c>
      <c r="E14" s="6">
        <f t="shared" si="13"/>
        <v>0</v>
      </c>
      <c r="F14" s="6">
        <f t="shared" si="13"/>
        <v>0</v>
      </c>
      <c r="G14" s="6">
        <f t="shared" si="13"/>
        <v>4116</v>
      </c>
      <c r="H14" s="6">
        <f>H12+H13</f>
        <v>4146</v>
      </c>
      <c r="I14" s="6">
        <f t="shared" ref="I14:J14" si="14">I12+I13</f>
        <v>0</v>
      </c>
      <c r="J14" s="6">
        <f t="shared" si="14"/>
        <v>0</v>
      </c>
      <c r="M14" s="6">
        <f t="shared" ref="M14:V14" si="15">M12+M13</f>
        <v>13025</v>
      </c>
      <c r="N14" s="6">
        <f t="shared" si="15"/>
        <v>14804</v>
      </c>
      <c r="O14" s="6">
        <f t="shared" si="15"/>
        <v>16377</v>
      </c>
      <c r="P14" s="6">
        <f t="shared" si="15"/>
        <v>17319.02</v>
      </c>
      <c r="Q14" s="6">
        <f t="shared" si="15"/>
        <v>18315.531200000001</v>
      </c>
      <c r="R14" s="6">
        <f t="shared" si="15"/>
        <v>19369.701572000005</v>
      </c>
      <c r="S14" s="6">
        <f t="shared" si="15"/>
        <v>20484.884091320004</v>
      </c>
      <c r="T14" s="6">
        <f t="shared" si="15"/>
        <v>21664.627583049205</v>
      </c>
      <c r="U14" s="6">
        <f t="shared" si="15"/>
        <v>22912.688206594656</v>
      </c>
      <c r="V14" s="6">
        <f t="shared" si="15"/>
        <v>24233.041615980961</v>
      </c>
    </row>
    <row r="15" spans="2:25" x14ac:dyDescent="0.25">
      <c r="B15" s="3" t="s">
        <v>23</v>
      </c>
      <c r="C15" s="7">
        <f t="shared" ref="C15:G15" si="16">C11-C14</f>
        <v>1695</v>
      </c>
      <c r="D15" s="7">
        <f t="shared" si="16"/>
        <v>1587</v>
      </c>
      <c r="E15" s="7">
        <f t="shared" si="16"/>
        <v>0</v>
      </c>
      <c r="F15" s="7">
        <f t="shared" si="16"/>
        <v>0</v>
      </c>
      <c r="G15" s="7">
        <f t="shared" si="16"/>
        <v>1604</v>
      </c>
      <c r="H15" s="7">
        <f>H11-H14</f>
        <v>1825</v>
      </c>
      <c r="I15" s="7">
        <f t="shared" ref="I15:J15" si="17">I11-I14</f>
        <v>0</v>
      </c>
      <c r="J15" s="7">
        <f t="shared" si="17"/>
        <v>0</v>
      </c>
      <c r="M15" s="7">
        <f t="shared" ref="M15:V15" si="18">M11-M14</f>
        <v>6937</v>
      </c>
      <c r="N15" s="7">
        <f t="shared" si="18"/>
        <v>6675</v>
      </c>
      <c r="O15" s="7">
        <f t="shared" si="18"/>
        <v>5915</v>
      </c>
      <c r="P15" s="7">
        <f t="shared" si="18"/>
        <v>6907.0300000000025</v>
      </c>
      <c r="Q15" s="7">
        <f t="shared" si="18"/>
        <v>8025.9940499999975</v>
      </c>
      <c r="R15" s="7">
        <f t="shared" si="18"/>
        <v>9303.5255080000061</v>
      </c>
      <c r="S15" s="7">
        <f t="shared" si="18"/>
        <v>10757.99559394877</v>
      </c>
      <c r="T15" s="7">
        <f t="shared" si="18"/>
        <v>12409.684046707702</v>
      </c>
      <c r="U15" s="7">
        <f t="shared" si="18"/>
        <v>14280.965963493443</v>
      </c>
      <c r="V15" s="7">
        <f t="shared" si="18"/>
        <v>16396.51632530307</v>
      </c>
    </row>
    <row r="16" spans="2:25" x14ac:dyDescent="0.25">
      <c r="B16" t="s">
        <v>18</v>
      </c>
      <c r="C16" s="6">
        <v>-13</v>
      </c>
      <c r="D16" s="6">
        <v>-16</v>
      </c>
      <c r="E16" s="6"/>
      <c r="F16" s="6"/>
      <c r="G16" s="6">
        <v>34</v>
      </c>
      <c r="H16" s="6">
        <v>22</v>
      </c>
      <c r="I16" s="6"/>
      <c r="J16" s="6"/>
      <c r="M16" s="6">
        <v>-262</v>
      </c>
      <c r="N16" s="6">
        <v>-205</v>
      </c>
      <c r="O16" s="6">
        <v>6</v>
      </c>
      <c r="P16" s="6">
        <v>120</v>
      </c>
      <c r="Q16" s="6">
        <f>P16*0.95</f>
        <v>114</v>
      </c>
      <c r="R16" s="6">
        <f>Q16*0.92</f>
        <v>104.88000000000001</v>
      </c>
      <c r="S16" s="6">
        <f t="shared" ref="S16:V16" si="19">R16*0.92</f>
        <v>96.48960000000001</v>
      </c>
      <c r="T16" s="6">
        <f t="shared" si="19"/>
        <v>88.770432000000014</v>
      </c>
      <c r="U16" s="6">
        <f t="shared" si="19"/>
        <v>81.66879744000002</v>
      </c>
      <c r="V16" s="6">
        <f t="shared" si="19"/>
        <v>75.135293644800015</v>
      </c>
    </row>
    <row r="17" spans="2:88" x14ac:dyDescent="0.25">
      <c r="B17" t="s">
        <v>19</v>
      </c>
      <c r="C17" s="6">
        <v>146</v>
      </c>
      <c r="D17" s="6">
        <v>79</v>
      </c>
      <c r="E17" s="6"/>
      <c r="F17" s="6"/>
      <c r="G17" s="6">
        <v>10</v>
      </c>
      <c r="H17" s="6">
        <v>75</v>
      </c>
      <c r="I17" s="6"/>
      <c r="J17" s="6"/>
      <c r="M17" s="6">
        <v>-14</v>
      </c>
      <c r="N17" s="6">
        <v>181</v>
      </c>
      <c r="O17" s="6">
        <v>280</v>
      </c>
      <c r="P17" s="6">
        <v>100</v>
      </c>
      <c r="Q17" s="6">
        <v>100</v>
      </c>
      <c r="R17" s="6">
        <v>100</v>
      </c>
      <c r="S17" s="6">
        <v>100</v>
      </c>
      <c r="T17" s="6">
        <v>100</v>
      </c>
      <c r="U17" s="6">
        <v>100</v>
      </c>
      <c r="V17" s="6">
        <v>100</v>
      </c>
    </row>
    <row r="18" spans="2:88" x14ac:dyDescent="0.25">
      <c r="B18" s="3" t="s">
        <v>20</v>
      </c>
      <c r="C18" s="7">
        <f t="shared" ref="C18:G18" si="20">C15+C16+C17</f>
        <v>1828</v>
      </c>
      <c r="D18" s="7">
        <f t="shared" si="20"/>
        <v>1650</v>
      </c>
      <c r="E18" s="7">
        <f t="shared" si="20"/>
        <v>0</v>
      </c>
      <c r="F18" s="7">
        <f t="shared" si="20"/>
        <v>0</v>
      </c>
      <c r="G18" s="7">
        <f t="shared" si="20"/>
        <v>1648</v>
      </c>
      <c r="H18" s="7">
        <f>H15+H16+H17</f>
        <v>1922</v>
      </c>
      <c r="I18" s="7">
        <f t="shared" ref="I18:J18" si="21">I15+I16+I17</f>
        <v>0</v>
      </c>
      <c r="J18" s="7">
        <f t="shared" si="21"/>
        <v>0</v>
      </c>
      <c r="M18" s="7">
        <f t="shared" ref="M18:V18" si="22">M15+M16+M17</f>
        <v>6661</v>
      </c>
      <c r="N18" s="7">
        <f t="shared" si="22"/>
        <v>6651</v>
      </c>
      <c r="O18" s="7">
        <f t="shared" si="22"/>
        <v>6201</v>
      </c>
      <c r="P18" s="7">
        <f t="shared" si="22"/>
        <v>7127.0300000000025</v>
      </c>
      <c r="Q18" s="7">
        <f t="shared" si="22"/>
        <v>8239.9940499999975</v>
      </c>
      <c r="R18" s="7">
        <f t="shared" si="22"/>
        <v>9508.4055080000053</v>
      </c>
      <c r="S18" s="7">
        <f t="shared" si="22"/>
        <v>10954.485193948771</v>
      </c>
      <c r="T18" s="7">
        <f t="shared" si="22"/>
        <v>12598.454478707701</v>
      </c>
      <c r="U18" s="7">
        <f t="shared" si="22"/>
        <v>14462.634760933443</v>
      </c>
      <c r="V18" s="7">
        <f t="shared" si="22"/>
        <v>16571.651618947868</v>
      </c>
    </row>
    <row r="19" spans="2:88" x14ac:dyDescent="0.25">
      <c r="B19" t="s">
        <v>21</v>
      </c>
      <c r="C19" s="6">
        <v>360</v>
      </c>
      <c r="D19" s="6">
        <v>319</v>
      </c>
      <c r="E19" s="6"/>
      <c r="F19" s="6"/>
      <c r="G19" s="6">
        <v>198</v>
      </c>
      <c r="H19" s="6">
        <v>344</v>
      </c>
      <c r="I19" s="6"/>
      <c r="J19" s="6"/>
      <c r="M19" s="6">
        <v>934</v>
      </c>
      <c r="N19" s="6">
        <v>605</v>
      </c>
      <c r="O19" s="6">
        <v>1131</v>
      </c>
      <c r="P19" s="6">
        <f>P18*0.22</f>
        <v>1567.9466000000004</v>
      </c>
      <c r="Q19" s="6">
        <f t="shared" ref="Q19:V19" si="23">Q18*0.22</f>
        <v>1812.7986909999995</v>
      </c>
      <c r="R19" s="6">
        <f t="shared" si="23"/>
        <v>2091.8492117600013</v>
      </c>
      <c r="S19" s="6">
        <f t="shared" si="23"/>
        <v>2409.9867426687297</v>
      </c>
      <c r="T19" s="6">
        <f t="shared" si="23"/>
        <v>2771.6599853156945</v>
      </c>
      <c r="U19" s="6">
        <f t="shared" si="23"/>
        <v>3181.7796474053575</v>
      </c>
      <c r="V19" s="6">
        <f t="shared" si="23"/>
        <v>3645.7633561685311</v>
      </c>
    </row>
    <row r="20" spans="2:88" x14ac:dyDescent="0.25">
      <c r="B20" s="3" t="s">
        <v>22</v>
      </c>
      <c r="C20" s="7">
        <f t="shared" ref="C20:G20" si="24">C18-C19</f>
        <v>1468</v>
      </c>
      <c r="D20" s="7">
        <f t="shared" si="24"/>
        <v>1331</v>
      </c>
      <c r="E20" s="7">
        <f t="shared" si="24"/>
        <v>0</v>
      </c>
      <c r="F20" s="7">
        <f t="shared" si="24"/>
        <v>0</v>
      </c>
      <c r="G20" s="7">
        <f t="shared" si="24"/>
        <v>1450</v>
      </c>
      <c r="H20" s="7">
        <f>H18-H19</f>
        <v>1578</v>
      </c>
      <c r="I20" s="7">
        <f t="shared" ref="I20:J20" si="25">I18-I19</f>
        <v>0</v>
      </c>
      <c r="J20" s="7">
        <f t="shared" si="25"/>
        <v>0</v>
      </c>
      <c r="M20" s="7">
        <f t="shared" ref="M20:V20" si="26">M18-M19</f>
        <v>5727</v>
      </c>
      <c r="N20" s="7">
        <f t="shared" si="26"/>
        <v>6046</v>
      </c>
      <c r="O20" s="7">
        <f t="shared" si="26"/>
        <v>5070</v>
      </c>
      <c r="P20" s="7">
        <f t="shared" si="26"/>
        <v>5559.0834000000023</v>
      </c>
      <c r="Q20" s="7">
        <f t="shared" si="26"/>
        <v>6427.1953589999976</v>
      </c>
      <c r="R20" s="7">
        <f t="shared" si="26"/>
        <v>7416.5562962400036</v>
      </c>
      <c r="S20" s="7">
        <f t="shared" si="26"/>
        <v>8544.4984512800402</v>
      </c>
      <c r="T20" s="7">
        <f t="shared" si="26"/>
        <v>9826.7944933920062</v>
      </c>
      <c r="U20" s="7">
        <f t="shared" si="26"/>
        <v>11280.855113528085</v>
      </c>
      <c r="V20" s="7">
        <f t="shared" si="26"/>
        <v>12925.888262779337</v>
      </c>
      <c r="W20" s="3">
        <f>V20*(1+$Y$4)</f>
        <v>13055.147145407131</v>
      </c>
      <c r="X20" s="3">
        <f t="shared" ref="X20:CI20" si="27">W20*(1+$Y$4)</f>
        <v>13185.698616861202</v>
      </c>
      <c r="Y20" s="3">
        <f t="shared" si="27"/>
        <v>13317.555603029814</v>
      </c>
      <c r="Z20" s="3">
        <f t="shared" si="27"/>
        <v>13450.731159060113</v>
      </c>
      <c r="AA20" s="3">
        <f t="shared" si="27"/>
        <v>13585.238470650715</v>
      </c>
      <c r="AB20" s="3">
        <f t="shared" si="27"/>
        <v>13721.090855357223</v>
      </c>
      <c r="AC20" s="3">
        <f t="shared" si="27"/>
        <v>13858.301763910795</v>
      </c>
      <c r="AD20" s="3">
        <f t="shared" si="27"/>
        <v>13996.884781549903</v>
      </c>
      <c r="AE20" s="3">
        <f t="shared" si="27"/>
        <v>14136.853629365402</v>
      </c>
      <c r="AF20" s="3">
        <f t="shared" si="27"/>
        <v>14278.222165659055</v>
      </c>
      <c r="AG20" s="3">
        <f t="shared" si="27"/>
        <v>14421.004387315646</v>
      </c>
      <c r="AH20" s="3">
        <f t="shared" si="27"/>
        <v>14565.214431188802</v>
      </c>
      <c r="AI20" s="3">
        <f t="shared" si="27"/>
        <v>14710.866575500691</v>
      </c>
      <c r="AJ20" s="3">
        <f t="shared" si="27"/>
        <v>14857.975241255699</v>
      </c>
      <c r="AK20" s="3">
        <f t="shared" si="27"/>
        <v>15006.554993668256</v>
      </c>
      <c r="AL20" s="3">
        <f t="shared" si="27"/>
        <v>15156.620543604939</v>
      </c>
      <c r="AM20" s="3">
        <f t="shared" si="27"/>
        <v>15308.186749040988</v>
      </c>
      <c r="AN20" s="3">
        <f t="shared" si="27"/>
        <v>15461.268616531397</v>
      </c>
      <c r="AO20" s="3">
        <f t="shared" si="27"/>
        <v>15615.881302696711</v>
      </c>
      <c r="AP20" s="3">
        <f t="shared" si="27"/>
        <v>15772.040115723677</v>
      </c>
      <c r="AQ20" s="3">
        <f t="shared" si="27"/>
        <v>15929.760516880915</v>
      </c>
      <c r="AR20" s="3">
        <f t="shared" si="27"/>
        <v>16089.058122049724</v>
      </c>
      <c r="AS20" s="3">
        <f t="shared" si="27"/>
        <v>16249.948703270222</v>
      </c>
      <c r="AT20" s="3">
        <f t="shared" si="27"/>
        <v>16412.448190302923</v>
      </c>
      <c r="AU20" s="3">
        <f t="shared" si="27"/>
        <v>16576.572672205952</v>
      </c>
      <c r="AV20" s="3">
        <f t="shared" si="27"/>
        <v>16742.338398928012</v>
      </c>
      <c r="AW20" s="3">
        <f t="shared" si="27"/>
        <v>16909.761782917292</v>
      </c>
      <c r="AX20" s="3">
        <f t="shared" si="27"/>
        <v>17078.859400746467</v>
      </c>
      <c r="AY20" s="3">
        <f t="shared" si="27"/>
        <v>17249.647994753934</v>
      </c>
      <c r="AZ20" s="3">
        <f t="shared" si="27"/>
        <v>17422.144474701472</v>
      </c>
      <c r="BA20" s="3">
        <f t="shared" si="27"/>
        <v>17596.365919448486</v>
      </c>
      <c r="BB20" s="3">
        <f t="shared" si="27"/>
        <v>17772.32957864297</v>
      </c>
      <c r="BC20" s="3">
        <f t="shared" si="27"/>
        <v>17950.052874429399</v>
      </c>
      <c r="BD20" s="3">
        <f t="shared" si="27"/>
        <v>18129.553403173693</v>
      </c>
      <c r="BE20" s="3">
        <f t="shared" si="27"/>
        <v>18310.848937205432</v>
      </c>
      <c r="BF20" s="3">
        <f t="shared" si="27"/>
        <v>18493.957426577486</v>
      </c>
      <c r="BG20" s="3">
        <f t="shared" si="27"/>
        <v>18678.897000843263</v>
      </c>
      <c r="BH20" s="3">
        <f t="shared" si="27"/>
        <v>18865.685970851697</v>
      </c>
      <c r="BI20" s="3">
        <f t="shared" si="27"/>
        <v>19054.342830560214</v>
      </c>
      <c r="BJ20" s="3">
        <f t="shared" si="27"/>
        <v>19244.886258865816</v>
      </c>
      <c r="BK20" s="3">
        <f t="shared" si="27"/>
        <v>19437.335121454475</v>
      </c>
      <c r="BL20" s="3">
        <f t="shared" si="27"/>
        <v>19631.708472669019</v>
      </c>
      <c r="BM20" s="3">
        <f t="shared" si="27"/>
        <v>19828.025557395711</v>
      </c>
      <c r="BN20" s="3">
        <f t="shared" si="27"/>
        <v>20026.305812969669</v>
      </c>
      <c r="BO20" s="3">
        <f t="shared" si="27"/>
        <v>20226.568871099367</v>
      </c>
      <c r="BP20" s="3">
        <f t="shared" si="27"/>
        <v>20428.834559810362</v>
      </c>
      <c r="BQ20" s="3">
        <f t="shared" si="27"/>
        <v>20633.122905408465</v>
      </c>
      <c r="BR20" s="3">
        <f t="shared" si="27"/>
        <v>20839.45413446255</v>
      </c>
      <c r="BS20" s="3">
        <f t="shared" si="27"/>
        <v>21047.848675807178</v>
      </c>
      <c r="BT20" s="3">
        <f t="shared" si="27"/>
        <v>21258.327162565249</v>
      </c>
      <c r="BU20" s="3">
        <f t="shared" si="27"/>
        <v>21470.910434190901</v>
      </c>
      <c r="BV20" s="3">
        <f t="shared" si="27"/>
        <v>21685.61953853281</v>
      </c>
      <c r="BW20" s="3">
        <f t="shared" si="27"/>
        <v>21902.475733918138</v>
      </c>
      <c r="BX20" s="3">
        <f t="shared" si="27"/>
        <v>22121.50049125732</v>
      </c>
      <c r="BY20" s="3">
        <f t="shared" si="27"/>
        <v>22342.715496169894</v>
      </c>
      <c r="BZ20" s="3">
        <f t="shared" si="27"/>
        <v>22566.142651131595</v>
      </c>
      <c r="CA20" s="3">
        <f t="shared" si="27"/>
        <v>22791.804077642912</v>
      </c>
      <c r="CB20" s="3">
        <f t="shared" si="27"/>
        <v>23019.72211841934</v>
      </c>
      <c r="CC20" s="3">
        <f t="shared" si="27"/>
        <v>23249.919339603533</v>
      </c>
      <c r="CD20" s="3">
        <f t="shared" si="27"/>
        <v>23482.418532999571</v>
      </c>
      <c r="CE20" s="3">
        <f t="shared" si="27"/>
        <v>23717.242718329566</v>
      </c>
      <c r="CF20" s="3">
        <f t="shared" si="27"/>
        <v>23954.415145512863</v>
      </c>
      <c r="CG20" s="3">
        <f t="shared" si="27"/>
        <v>24193.959296967991</v>
      </c>
      <c r="CH20" s="3">
        <f t="shared" si="27"/>
        <v>24435.898889937671</v>
      </c>
      <c r="CI20" s="3">
        <f t="shared" si="27"/>
        <v>24680.257878837048</v>
      </c>
      <c r="CJ20" s="3">
        <f t="shared" ref="CJ20" si="28">CI20*(1+$Y$4)</f>
        <v>24927.060457625419</v>
      </c>
    </row>
    <row r="21" spans="2:88" x14ac:dyDescent="0.25">
      <c r="B21" t="s">
        <v>24</v>
      </c>
      <c r="C21">
        <v>1585.8</v>
      </c>
      <c r="D21">
        <v>1572.4</v>
      </c>
      <c r="G21">
        <v>1543.3</v>
      </c>
      <c r="H21">
        <v>1532.1</v>
      </c>
      <c r="M21" s="6"/>
      <c r="N21" s="6"/>
      <c r="O21" s="6"/>
      <c r="P21" s="6">
        <f>H21</f>
        <v>1532.1</v>
      </c>
      <c r="Q21" s="6">
        <f>P21*0.98</f>
        <v>1501.4579999999999</v>
      </c>
      <c r="R21" s="6">
        <f t="shared" ref="R21:V21" si="29">Q21*0.98</f>
        <v>1471.4288399999998</v>
      </c>
      <c r="S21" s="6">
        <f t="shared" si="29"/>
        <v>1442.0002631999998</v>
      </c>
      <c r="T21" s="6">
        <f t="shared" si="29"/>
        <v>1413.1602579359999</v>
      </c>
      <c r="U21" s="6">
        <f t="shared" si="29"/>
        <v>1384.8970527772799</v>
      </c>
      <c r="V21" s="6">
        <f t="shared" si="29"/>
        <v>1357.1991117217342</v>
      </c>
    </row>
    <row r="22" spans="2:88" x14ac:dyDescent="0.25">
      <c r="B22" t="s">
        <v>25</v>
      </c>
      <c r="C22" s="2">
        <f t="shared" ref="C22:G22" si="30">C20/C21</f>
        <v>0.92571572707781569</v>
      </c>
      <c r="D22" s="2">
        <f t="shared" si="30"/>
        <v>0.84647672348003045</v>
      </c>
      <c r="E22" s="2" t="e">
        <f t="shared" si="30"/>
        <v>#DIV/0!</v>
      </c>
      <c r="F22" s="2" t="e">
        <f t="shared" si="30"/>
        <v>#DIV/0!</v>
      </c>
      <c r="G22" s="2">
        <f t="shared" si="30"/>
        <v>0.93954513056437505</v>
      </c>
      <c r="H22" s="2">
        <f>H20/H21</f>
        <v>1.0299588799686705</v>
      </c>
      <c r="I22" s="2" t="e">
        <f t="shared" ref="I22:J22" si="31">I20/I21</f>
        <v>#DIV/0!</v>
      </c>
      <c r="J22" s="2" t="e">
        <f t="shared" si="31"/>
        <v>#DIV/0!</v>
      </c>
      <c r="M22" s="2" t="e">
        <f t="shared" ref="M22:V22" si="32">M20/M21</f>
        <v>#DIV/0!</v>
      </c>
      <c r="N22" s="2" t="e">
        <f t="shared" si="32"/>
        <v>#DIV/0!</v>
      </c>
      <c r="O22" s="2" t="e">
        <f t="shared" si="32"/>
        <v>#DIV/0!</v>
      </c>
      <c r="P22" s="2">
        <f t="shared" si="32"/>
        <v>3.628407675739183</v>
      </c>
      <c r="Q22" s="2">
        <f t="shared" si="32"/>
        <v>4.2806361276838905</v>
      </c>
      <c r="R22" s="2">
        <f t="shared" si="32"/>
        <v>5.0403771454146602</v>
      </c>
      <c r="S22" s="2">
        <f t="shared" si="32"/>
        <v>5.9254486072829176</v>
      </c>
      <c r="T22" s="2">
        <f t="shared" si="32"/>
        <v>6.9537721841573674</v>
      </c>
      <c r="U22" s="2">
        <f t="shared" si="32"/>
        <v>8.1456272081057559</v>
      </c>
      <c r="V22" s="2">
        <f t="shared" si="32"/>
        <v>9.5239439453962191</v>
      </c>
    </row>
    <row r="24" spans="2:88" x14ac:dyDescent="0.25">
      <c r="B24" t="s">
        <v>26</v>
      </c>
      <c r="C24" s="4"/>
      <c r="D24" s="4"/>
      <c r="E24" s="4"/>
      <c r="F24" s="4"/>
      <c r="G24" s="4">
        <f t="shared" ref="G24" si="33">G9/C9-1</f>
        <v>1.986285173799951E-2</v>
      </c>
      <c r="H24" s="4">
        <f>H9/D9-1</f>
        <v>5.482538490424238E-3</v>
      </c>
      <c r="N24" s="4">
        <f t="shared" ref="N24" si="34">N9/M9-1</f>
        <v>4.8767344739323759E-2</v>
      </c>
      <c r="O24" s="4">
        <f>O9/N9-1</f>
        <v>9.6488974523656568E-2</v>
      </c>
      <c r="P24" s="4">
        <f t="shared" ref="P24:V24" si="35">P9/O9-1</f>
        <v>6.8823339906671777E-2</v>
      </c>
      <c r="Q24" s="4">
        <f t="shared" si="35"/>
        <v>6.9304255833166239E-2</v>
      </c>
      <c r="R24" s="4">
        <f t="shared" si="35"/>
        <v>7.0083390725765859E-2</v>
      </c>
      <c r="S24" s="4">
        <f t="shared" si="35"/>
        <v>7.0846971463770059E-2</v>
      </c>
      <c r="T24" s="4">
        <f t="shared" si="35"/>
        <v>7.1594243965455329E-2</v>
      </c>
      <c r="U24" s="4">
        <f t="shared" si="35"/>
        <v>7.2324538129985072E-2</v>
      </c>
      <c r="V24" s="4">
        <f t="shared" si="35"/>
        <v>7.3037268202926331E-2</v>
      </c>
    </row>
    <row r="25" spans="2:88" x14ac:dyDescent="0.25">
      <c r="B25" t="s">
        <v>27</v>
      </c>
      <c r="C25" s="4">
        <f t="shared" ref="C25:G25" si="36">C11/C9</f>
        <v>0.44257901789233073</v>
      </c>
      <c r="D25" s="4">
        <f t="shared" si="36"/>
        <v>0.42891475779196397</v>
      </c>
      <c r="E25" s="4" t="e">
        <f t="shared" si="36"/>
        <v>#DIV/0!</v>
      </c>
      <c r="F25" s="4" t="e">
        <f t="shared" si="36"/>
        <v>#DIV/0!</v>
      </c>
      <c r="G25" s="4">
        <f t="shared" si="36"/>
        <v>0.44207434886776414</v>
      </c>
      <c r="H25" s="4">
        <f>H11/H9</f>
        <v>0.44599641469973111</v>
      </c>
      <c r="M25" s="4">
        <f t="shared" ref="M25:O25" si="37">M11/M9</f>
        <v>0.44820153576721</v>
      </c>
      <c r="N25" s="4">
        <f t="shared" si="37"/>
        <v>0.45983729394134021</v>
      </c>
      <c r="O25" s="4">
        <f t="shared" si="37"/>
        <v>0.43524610969014194</v>
      </c>
      <c r="P25" s="4">
        <f t="shared" ref="P25:V25" si="38">P11/P9</f>
        <v>0.44255020260979133</v>
      </c>
      <c r="Q25" s="4">
        <f t="shared" si="38"/>
        <v>0.45000729863509725</v>
      </c>
      <c r="R25" s="4">
        <f t="shared" si="38"/>
        <v>0.457759736326313</v>
      </c>
      <c r="S25" s="4">
        <f t="shared" si="38"/>
        <v>0.46578410041747559</v>
      </c>
      <c r="T25" s="4">
        <f t="shared" si="38"/>
        <v>0.47405673627551537</v>
      </c>
      <c r="U25" s="4">
        <f t="shared" si="38"/>
        <v>0.48255390649088092</v>
      </c>
      <c r="V25" s="4">
        <f t="shared" si="38"/>
        <v>0.49125193986376792</v>
      </c>
    </row>
    <row r="26" spans="2:88" x14ac:dyDescent="0.25">
      <c r="B26" t="s">
        <v>28</v>
      </c>
      <c r="C26" s="4">
        <f t="shared" ref="C26:G26" si="39">C15/C9</f>
        <v>0.13360132419011586</v>
      </c>
      <c r="D26" s="4">
        <f t="shared" si="39"/>
        <v>0.11918888471648517</v>
      </c>
      <c r="E26" s="4" t="e">
        <f t="shared" si="39"/>
        <v>#DIV/0!</v>
      </c>
      <c r="F26" s="4" t="e">
        <f t="shared" si="39"/>
        <v>#DIV/0!</v>
      </c>
      <c r="G26" s="4">
        <f t="shared" si="39"/>
        <v>0.12396630342375763</v>
      </c>
      <c r="H26" s="4">
        <f>H15/H9</f>
        <v>0.1363161039737078</v>
      </c>
      <c r="M26" s="4">
        <f t="shared" ref="M26:O26" si="40">M15/M9</f>
        <v>0.15575463649018814</v>
      </c>
      <c r="N26" s="4">
        <f t="shared" si="40"/>
        <v>0.14290301862556198</v>
      </c>
      <c r="O26" s="4">
        <f t="shared" si="40"/>
        <v>0.11548899779370131</v>
      </c>
      <c r="P26" s="4">
        <f t="shared" ref="P26:V26" si="41">P15/P9</f>
        <v>0.12617440837164573</v>
      </c>
      <c r="Q26" s="4">
        <f t="shared" si="41"/>
        <v>0.13711263364682585</v>
      </c>
      <c r="R26" s="4">
        <f t="shared" si="41"/>
        <v>0.14852808062255993</v>
      </c>
      <c r="S26" s="4">
        <f t="shared" si="41"/>
        <v>0.16038544943682859</v>
      </c>
      <c r="T26" s="4">
        <f t="shared" si="41"/>
        <v>0.17264895565065749</v>
      </c>
      <c r="U26" s="4">
        <f t="shared" si="41"/>
        <v>0.18528257219988947</v>
      </c>
      <c r="V26" s="4">
        <f t="shared" si="41"/>
        <v>0.19825026064653542</v>
      </c>
    </row>
    <row r="28" spans="2:88" x14ac:dyDescent="0.25">
      <c r="B28" t="s">
        <v>30</v>
      </c>
      <c r="H28">
        <v>-66</v>
      </c>
      <c r="I28">
        <f>2751+H28</f>
        <v>2685</v>
      </c>
    </row>
    <row r="29" spans="2:88" x14ac:dyDescent="0.25">
      <c r="B29" t="s">
        <v>31</v>
      </c>
      <c r="H29">
        <v>1144</v>
      </c>
      <c r="I29">
        <f>2206-H29</f>
        <v>1062</v>
      </c>
    </row>
    <row r="30" spans="2:88" x14ac:dyDescent="0.25">
      <c r="B30" t="s">
        <v>32</v>
      </c>
      <c r="C30">
        <f t="shared" ref="C30:G30" si="42">C28-C29</f>
        <v>0</v>
      </c>
      <c r="D30">
        <f t="shared" si="42"/>
        <v>0</v>
      </c>
      <c r="E30">
        <f t="shared" si="42"/>
        <v>0</v>
      </c>
      <c r="F30">
        <f t="shared" si="42"/>
        <v>0</v>
      </c>
      <c r="G30">
        <f t="shared" si="42"/>
        <v>0</v>
      </c>
      <c r="H30">
        <f>H28-H29</f>
        <v>-1210</v>
      </c>
      <c r="I30">
        <f t="shared" ref="I30" si="43">I28-I29</f>
        <v>1623</v>
      </c>
    </row>
    <row r="32" spans="2:88" x14ac:dyDescent="0.25">
      <c r="B32" t="s">
        <v>29</v>
      </c>
      <c r="G32">
        <f>6178+2612-6-8929</f>
        <v>-145</v>
      </c>
      <c r="H32">
        <f>7919+2008-6-8930</f>
        <v>991</v>
      </c>
    </row>
    <row r="34" spans="2:15" x14ac:dyDescent="0.25">
      <c r="B34" t="s">
        <v>33</v>
      </c>
      <c r="O34">
        <f>369+663</f>
        <v>1032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Cadal Duarte Morais</dc:creator>
  <cp:lastModifiedBy>alexandreduartemorais@gmail.com</cp:lastModifiedBy>
  <dcterms:created xsi:type="dcterms:W3CDTF">2024-01-20T13:33:37Z</dcterms:created>
  <dcterms:modified xsi:type="dcterms:W3CDTF">2024-07-17T21:22:50Z</dcterms:modified>
</cp:coreProperties>
</file>