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decc0a7aee32c85f/Ambiente de Trabalho/"/>
    </mc:Choice>
  </mc:AlternateContent>
  <xr:revisionPtr revIDLastSave="408" documentId="8_{F6D2EF24-8D13-4621-9D6F-9AB609E16D6E}" xr6:coauthVersionLast="47" xr6:coauthVersionMax="47" xr10:uidLastSave="{82A3A150-C43E-433B-A781-F07AE478D4FA}"/>
  <bookViews>
    <workbookView xWindow="768" yWindow="768" windowWidth="17280" windowHeight="8880" activeTab="1" xr2:uid="{4BA2D471-E7D1-4346-AE8B-A61C017CDDEC}"/>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5" i="2" l="1"/>
  <c r="O25" i="2" s="1"/>
  <c r="P25" i="2" s="1"/>
  <c r="M25" i="2"/>
  <c r="N24" i="2"/>
  <c r="M24" i="2"/>
  <c r="O9" i="2"/>
  <c r="P9" i="2" s="1"/>
  <c r="Q9" i="2" s="1"/>
  <c r="R9" i="2" s="1"/>
  <c r="S9" i="2" s="1"/>
  <c r="T9" i="2" s="1"/>
  <c r="P8" i="2"/>
  <c r="Q8" i="2" s="1"/>
  <c r="R8" i="2" s="1"/>
  <c r="S8" i="2" s="1"/>
  <c r="T8" i="2" s="1"/>
  <c r="O8" i="2"/>
  <c r="P7" i="2"/>
  <c r="Q7" i="2" s="1"/>
  <c r="O7" i="2"/>
  <c r="P6" i="2"/>
  <c r="O6" i="2"/>
  <c r="N10" i="2"/>
  <c r="N11" i="2"/>
  <c r="N12" i="2" s="1"/>
  <c r="N15" i="2" s="1"/>
  <c r="N17" i="2" s="1"/>
  <c r="N22" i="2" s="1"/>
  <c r="N16" i="2"/>
  <c r="O16" i="2" s="1"/>
  <c r="P16" i="2" s="1"/>
  <c r="Q16" i="2" s="1"/>
  <c r="R16" i="2" s="1"/>
  <c r="S16" i="2" s="1"/>
  <c r="T16" i="2" s="1"/>
  <c r="M16" i="2"/>
  <c r="N9" i="2"/>
  <c r="M9" i="2"/>
  <c r="M10" i="2" s="1"/>
  <c r="N6" i="2"/>
  <c r="M6" i="2"/>
  <c r="E25" i="2"/>
  <c r="E24" i="2"/>
  <c r="E18" i="2"/>
  <c r="E5" i="2"/>
  <c r="E3" i="2"/>
  <c r="E4" i="2"/>
  <c r="E6" i="2"/>
  <c r="E7" i="2"/>
  <c r="E8" i="2"/>
  <c r="E9" i="2"/>
  <c r="E10" i="2"/>
  <c r="E11" i="2"/>
  <c r="E12" i="2"/>
  <c r="E13" i="2"/>
  <c r="E14" i="2"/>
  <c r="E15" i="2"/>
  <c r="E16" i="2"/>
  <c r="E2" i="2"/>
  <c r="K26" i="2"/>
  <c r="K25" i="2"/>
  <c r="K9" i="2"/>
  <c r="K10" i="2" s="1"/>
  <c r="K11" i="2" s="1"/>
  <c r="K12" i="2" s="1"/>
  <c r="K21" i="2" s="1"/>
  <c r="N20" i="2"/>
  <c r="M20" i="2"/>
  <c r="L20" i="2"/>
  <c r="K5" i="2"/>
  <c r="L9" i="2"/>
  <c r="L10" i="2" s="1"/>
  <c r="L11" i="2" s="1"/>
  <c r="L12" i="2" s="1"/>
  <c r="L15" i="2" s="1"/>
  <c r="L17" i="2" s="1"/>
  <c r="L22" i="2" s="1"/>
  <c r="L26" i="2"/>
  <c r="L5" i="2"/>
  <c r="N1" i="2"/>
  <c r="O1" i="2" s="1"/>
  <c r="P1" i="2" s="1"/>
  <c r="Q1" i="2" s="1"/>
  <c r="R1" i="2" s="1"/>
  <c r="S1" i="2" s="1"/>
  <c r="T1" i="2" s="1"/>
  <c r="M1" i="2"/>
  <c r="D25" i="2"/>
  <c r="D26" i="2" s="1"/>
  <c r="D9" i="2"/>
  <c r="D10" i="2" s="1"/>
  <c r="D11" i="2" s="1"/>
  <c r="D12" i="2" s="1"/>
  <c r="D15" i="2" s="1"/>
  <c r="D17" i="2" s="1"/>
  <c r="D5" i="2"/>
  <c r="G20" i="2"/>
  <c r="F20" i="2"/>
  <c r="B15" i="2"/>
  <c r="B12" i="2"/>
  <c r="B9" i="2"/>
  <c r="F9" i="2"/>
  <c r="F10" i="2" s="1"/>
  <c r="F11" i="2" s="1"/>
  <c r="B10" i="2"/>
  <c r="B11" i="2" s="1"/>
  <c r="B5" i="2"/>
  <c r="F5" i="2"/>
  <c r="B25" i="2"/>
  <c r="B26" i="2" s="1"/>
  <c r="F25" i="2"/>
  <c r="F26" i="2" s="1"/>
  <c r="G25" i="2"/>
  <c r="G26" i="2" s="1"/>
  <c r="C26" i="2"/>
  <c r="C25" i="2"/>
  <c r="C10" i="2"/>
  <c r="C11" i="2" s="1"/>
  <c r="C5" i="2"/>
  <c r="G10" i="2"/>
  <c r="G11" i="2" s="1"/>
  <c r="G12" i="2" s="1"/>
  <c r="G15" i="2" s="1"/>
  <c r="G17" i="2" s="1"/>
  <c r="G22" i="2" s="1"/>
  <c r="G5" i="2"/>
  <c r="B6" i="1"/>
  <c r="B2" i="1" a="1"/>
  <c r="B2" i="1" s="1"/>
  <c r="B4" i="1" s="1"/>
  <c r="B7" i="1" s="1"/>
  <c r="Q5" i="2" l="1"/>
  <c r="Q24" i="2" s="1"/>
  <c r="P24" i="2"/>
  <c r="P26" i="2" s="1"/>
  <c r="O24" i="2"/>
  <c r="Q25" i="2"/>
  <c r="O26" i="2"/>
  <c r="N26" i="2"/>
  <c r="M26" i="2"/>
  <c r="O10" i="2"/>
  <c r="O11" i="2" s="1"/>
  <c r="O12" i="2" s="1"/>
  <c r="O15" i="2" s="1"/>
  <c r="O17" i="2" s="1"/>
  <c r="O22" i="2" s="1"/>
  <c r="R7" i="2"/>
  <c r="Q10" i="2"/>
  <c r="P10" i="2"/>
  <c r="P11" i="2" s="1"/>
  <c r="P12" i="2" s="1"/>
  <c r="P21" i="2" s="1"/>
  <c r="Q6" i="2"/>
  <c r="P20" i="2"/>
  <c r="O20" i="2"/>
  <c r="E17" i="2"/>
  <c r="E22" i="2" s="1"/>
  <c r="N21" i="2"/>
  <c r="M11" i="2"/>
  <c r="M12" i="2" s="1"/>
  <c r="E26" i="2"/>
  <c r="K15" i="2"/>
  <c r="L21" i="2"/>
  <c r="D22" i="2"/>
  <c r="E21" i="2"/>
  <c r="D21" i="2"/>
  <c r="G21" i="2"/>
  <c r="F12" i="2"/>
  <c r="C12" i="2"/>
  <c r="R5" i="2" l="1"/>
  <c r="R24" i="2" s="1"/>
  <c r="Q20" i="2"/>
  <c r="R25" i="2"/>
  <c r="Q26" i="2"/>
  <c r="S7" i="2"/>
  <c r="R10" i="2"/>
  <c r="Q11" i="2"/>
  <c r="Q12" i="2" s="1"/>
  <c r="Q21" i="2" s="1"/>
  <c r="R6" i="2"/>
  <c r="O21" i="2"/>
  <c r="P15" i="2"/>
  <c r="P17" i="2" s="1"/>
  <c r="P22" i="2" s="1"/>
  <c r="M21" i="2"/>
  <c r="M15" i="2"/>
  <c r="M17" i="2" s="1"/>
  <c r="M22" i="2" s="1"/>
  <c r="K17" i="2"/>
  <c r="K22" i="2" s="1"/>
  <c r="C15" i="2"/>
  <c r="C17" i="2" s="1"/>
  <c r="C22" i="2" s="1"/>
  <c r="C21" i="2"/>
  <c r="B21" i="2"/>
  <c r="B17" i="2"/>
  <c r="B22" i="2" s="1"/>
  <c r="F15" i="2"/>
  <c r="F17" i="2" s="1"/>
  <c r="F22" i="2" s="1"/>
  <c r="F21" i="2"/>
  <c r="R20" i="2" l="1"/>
  <c r="S5" i="2"/>
  <c r="S24" i="2" s="1"/>
  <c r="S25" i="2"/>
  <c r="R26" i="2"/>
  <c r="T7" i="2"/>
  <c r="T10" i="2" s="1"/>
  <c r="S10" i="2"/>
  <c r="Q15" i="2"/>
  <c r="Q17" i="2" s="1"/>
  <c r="Q22" i="2" s="1"/>
  <c r="R11" i="2"/>
  <c r="R12" i="2" s="1"/>
  <c r="S6" i="2"/>
  <c r="T5" i="2"/>
  <c r="T24" i="2" s="1"/>
  <c r="S20" i="2" l="1"/>
  <c r="T25" i="2"/>
  <c r="T26" i="2" s="1"/>
  <c r="S26" i="2"/>
  <c r="R15" i="2"/>
  <c r="R17" i="2" s="1"/>
  <c r="R22" i="2" s="1"/>
  <c r="R21" i="2"/>
  <c r="T6" i="2"/>
  <c r="T11" i="2" s="1"/>
  <c r="S11" i="2"/>
  <c r="S12" i="2" s="1"/>
  <c r="S21" i="2" s="1"/>
  <c r="T20" i="2"/>
  <c r="T12" i="2"/>
  <c r="S15" i="2" l="1"/>
  <c r="S17" i="2" s="1"/>
  <c r="S22" i="2" s="1"/>
  <c r="T15" i="2"/>
  <c r="T17" i="2" s="1"/>
  <c r="T22" i="2" s="1"/>
  <c r="T21"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<sst xmlns="http://schemas.openxmlformats.org/spreadsheetml/2006/main" count="55" uniqueCount="55">
  <si>
    <t>ticket</t>
  </si>
  <si>
    <t xml:space="preserve">price </t>
  </si>
  <si>
    <t>shares</t>
  </si>
  <si>
    <t>mc</t>
  </si>
  <si>
    <t xml:space="preserve">cash </t>
  </si>
  <si>
    <t>debt</t>
  </si>
  <si>
    <t>ev</t>
  </si>
  <si>
    <t>Rental</t>
  </si>
  <si>
    <t>Interest from loans</t>
  </si>
  <si>
    <t>Fees</t>
  </si>
  <si>
    <t>Total Revenue</t>
  </si>
  <si>
    <t>FY 2022 Q2</t>
  </si>
  <si>
    <t>FY 2023 Q2</t>
  </si>
  <si>
    <t>Total Expenses</t>
  </si>
  <si>
    <t>D&amp;A</t>
  </si>
  <si>
    <t>Compensation</t>
  </si>
  <si>
    <t>Professional Fees</t>
  </si>
  <si>
    <t>Other G&amp;A</t>
  </si>
  <si>
    <t>Total G&amp;A</t>
  </si>
  <si>
    <t>Operating Profit</t>
  </si>
  <si>
    <t>Other Income</t>
  </si>
  <si>
    <t>Interest Expenses</t>
  </si>
  <si>
    <t>Net Income</t>
  </si>
  <si>
    <t>Non-controlling interests</t>
  </si>
  <si>
    <t>Net Income to shareholders</t>
  </si>
  <si>
    <t>Revenue Y/Y</t>
  </si>
  <si>
    <t>Shares</t>
  </si>
  <si>
    <t>Operating Margin %</t>
  </si>
  <si>
    <t>Net Margin %</t>
  </si>
  <si>
    <t>AFFO</t>
  </si>
  <si>
    <t>Dividends</t>
  </si>
  <si>
    <t>Payout Ratio</t>
  </si>
  <si>
    <t>FY 2022 Q1</t>
  </si>
  <si>
    <t>FY 2022 Q3</t>
  </si>
  <si>
    <t>FY 2022 Q4</t>
  </si>
  <si>
    <t>FY 2023 Q1</t>
  </si>
  <si>
    <t>FY 2023 Q3</t>
  </si>
  <si>
    <t>FY 2023 Q4</t>
  </si>
  <si>
    <t>info/news</t>
  </si>
  <si>
    <t>-32 properties located in 12 states</t>
  </si>
  <si>
    <t>Notes:</t>
  </si>
  <si>
    <t>Total Real Estate value $400M</t>
  </si>
  <si>
    <t>- leases *generally* contain annual increases in rent (typically between 2% and 3%)</t>
  </si>
  <si>
    <t>Clients</t>
  </si>
  <si>
    <t>%Revenue</t>
  </si>
  <si>
    <t>Curaleaf</t>
  </si>
  <si>
    <t>Cresco Labs</t>
  </si>
  <si>
    <t>Trulieve</t>
  </si>
  <si>
    <t>Columbia Care</t>
  </si>
  <si>
    <t>Calypso</t>
  </si>
  <si>
    <t>Number of Leases</t>
  </si>
  <si>
    <t>business model</t>
  </si>
  <si>
    <t>sale-leaseback transactions, third-party purchases and funding for build-to-suit projects</t>
  </si>
  <si>
    <t>17 dispensaries + 15 cultivation</t>
  </si>
  <si>
    <t>weighted average remaining lease term of 14.5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</si>
</sst>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_([$$-409]* \(#,##0.00\);_([$$-409]* &quot;-&quot;??_);_(@_)"/>
    <numFmt numFmtId="165" formatCode="_-[$$-409]* #,##0.00_ ;_-[$$-409]* \-#,##0.00\ ;_-[$$-409]* &quot;-&quot;??_ ;_-@_ "/>
    <numFmt numFmtId="166" formatCode="0.00000%"/>
    <numFmt numFmtId="167" formatCode="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164" fontId="0" fillId="0" borderId="0" xfId="0" applyNumberFormat="1"/>
    <xf numFmtId="165" fontId="0" fillId="0" borderId="0" xfId="0" applyNumberFormat="1"/>
    <xf numFmtId="9" fontId="0" fillId="0" borderId="0" xfId="1" applyFont="1"/>
    <xf numFmtId="166" fontId="0" fillId="0" borderId="0" xfId="1" applyNumberFormat="1" applyFont="1"/>
    <xf numFmtId="0" fontId="2" fillId="0" borderId="0" xfId="0" applyFont="1"/>
    <xf numFmtId="167" fontId="0" fillId="0" borderId="0" xfId="0" applyNumberFormat="1"/>
    <xf numFmtId="0" fontId="0" fillId="0" borderId="0" xfId="0" quotePrefix="1"/>
    <xf numFmtId="9" fontId="0" fillId="0" borderId="0" xfId="0" applyNumberFormat="1"/>
  </cellXfs>
  <cellStyles count="2">
    <cellStyle name="Normal" xfId="0" builtinId="0"/>
    <cellStyle name="Pe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https://www.bing.com/financeapi/forcetrigger?t=c35uxm&amp;q=OTCM%3aNLCP&amp;form=skydnc</v>
    <v>Learn more on Bing</v>
  </rv>
  <rv s="1">
    <v>pt-BR</v>
    <v>c35uxm</v>
    <v>268435456</v>
    <v>1</v>
    <v>Da plataforma Refinitiv</v>
    <v>0</v>
    <v>1</v>
    <v>Newlake Capital (OTCM:NLCP)</v>
    <v>3</v>
    <v>4</v>
    <v>Finance</v>
    <v>5</v>
    <v>19.5</v>
    <v>11.8</v>
    <v>OTCM</v>
    <v>21302510</v>
    <v>13.05</v>
    <v>2019</v>
    <v>12.7</v>
    <v>0.51900000000000002</v>
    <v>OTC Markets</v>
    <v>270541900</v>
    <v>NewLake Capital Partners, Inc. is an internally managed real estate investment trust (REIT) focused on providing real estate capital to state-licensed cannabis operators through sale-leaseback transactions, third-party purchases and funding for build-to-suit projects. The Company's properties are leased to single tenants on a long-term, triple-net basis, which obligates the tenant to be responsible for the ongoing expenses of a property, in addition to its rent obligations. The Company supplies real estate capital primarily to companies that cultivate, produce and/or dispense cannabis. The Company owns a geographically diversified portfolio consisting of approximately 32 properties across 12 states with over 13 tenants, comprised of approximately 17 dispensaries and 15 cultivation facilities. Its properties are in Arizona, Arkansas, California, Connecticut, Florida, Illinois, Massachusetts, Missouri, North Dakota, Ohio and Pennsylvania.</v>
    <v>OTCM</v>
    <v>12.81</v>
    <v>8</v>
    <v>45233.83308335625</v>
    <v>0</v>
    <v>24430</v>
    <v>USD</v>
    <v>Newlake Capital</v>
    <v>Newlake Capital</v>
    <v>11.126799999999999</v>
    <v>12.81</v>
    <v>12.7</v>
    <v>50 Locust Avenue, Suite 50, NEW CANAAN, CT, 06840 US</v>
    <v>Real Estate Operations</v>
    <v>NLCP</v>
    <v>Ações</v>
    <v>Newlake Capital (OTCM:NLCP)</v>
    <v>-0.11</v>
    <v>-8.5870000000000009E-3</v>
    <v>30768</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
    <k n="Pendência"/>
    <k n="Preço"/>
    <k n="Sede" t="s"/>
    <k n="Setor" t="s"/>
    <k n="Símbolo do ticker" t="s"/>
    <k n="Tipo de instrumento" t="s"/>
    <k n="UniqueName" t="s"/>
    <k n="Variação"/>
    <k n="Variação (%)"/>
    <k n="Volume"/>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P/E</v>
      <v t="s">Ações em circulação</v>
      <v t="s">Descrição</v>
      <v t="s">Funcionários</v>
      <v t="s">Sede</v>
      <v t="s">Setor</v>
      <v t="s">Tipo de instrumento</v>
      <v t="s">Ano de incorporação</v>
      <v t="s">_Flags</v>
      <v t="s">UniqueName</v>
      <v t="s">_DisplayString</v>
      <v t="s">LearnMoreOnLink</v>
      <v t="s">ExchangeID</v>
      <v t="s">%ProviderInfo</v>
    </a>
  </spbArrays>
  <spbData count="6">
    <spb s="0">
      <v>P/E</v>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1</v>
      <v>3</v>
      <v>2</v>
      <v>2</v>
      <v>4</v>
      <v>2</v>
      <v>2</v>
      <v>4</v>
      <v>5</v>
      <v>4</v>
      <v>6</v>
      <v>2</v>
      <v>2</v>
      <v>7</v>
      <v>4</v>
      <v>2</v>
      <v>8</v>
      <v>9</v>
    </spb>
    <spb s="5">
      <v>Atraso de 15 minutos</v>
      <v xml:space="preserve">do fechamento anterior </v>
      <v xml:space="preserve">do fechamento anterior </v>
      <v>GMT</v>
    </spb>
  </spbData>
</supportingPropertyBags>
</file>

<file path=xl/richData/rdsupportingpropertybagstructure.xml><?xml version="1.0" encoding="utf-8"?>
<spbStructures xmlns="http://schemas.microsoft.com/office/spreadsheetml/2017/richdata2" count="6">
  <s>
    <k n="P/E" t="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P/E" t="i"/>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5">
      <rpv i="0">#,##0.00</rpv>
    </rSty>
    <rSty dxfid="1">
      <rpv i="0">_([$$-en-US]* #,##0.00_);_([$$-en-US]* (#,##0.00);_([$$-en-US]* "-"??_);_(@_)</rpv>
    </rSty>
    <rSty>
      <rpv i="1">1</rpv>
    </rSty>
    <rSty dxfid="4">
      <rpv i="0">#,##0</rpv>
    </rSty>
    <rSty dxfid="3"/>
    <rSty dxfid="0">
      <rpv i="0">0.00</rpv>
    </rSty>
    <rSty dxfid="6">
      <rpv i="0">0</rpv>
    </rSty>
    <rSty dxfid="1">
      <rpv i="0">_([$$-en-US]* #,##0_);_([$$-en-US]* (#,##0);_([$$-en-US]* "-"_);_(@_)</rpv>
    </rSty>
    <rSty dxfid="2"/>
  </richStyles>
</richStyleShee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837EF-D7D5-4E54-9A1A-5938BB116CCC}">
  <dimension ref="A1:G20"/>
  <sheetViews>
    <sheetView workbookViewId="0">
      <selection activeCell="G3" sqref="G3"/>
    </sheetView>
  </sheetViews>
  <sheetFormatPr defaultRowHeight="14.4" x14ac:dyDescent="0.3"/>
  <cols>
    <col min="1" max="1" width="15.33203125" customWidth="1"/>
    <col min="2" max="2" width="10.33203125" customWidth="1"/>
    <col min="3" max="3" width="12" bestFit="1" customWidth="1"/>
  </cols>
  <sheetData>
    <row r="1" spans="1:7" x14ac:dyDescent="0.3">
      <c r="A1" t="s">
        <v>0</v>
      </c>
      <c r="B1" t="e" vm="1">
        <v>#VALUE!</v>
      </c>
    </row>
    <row r="2" spans="1:7" x14ac:dyDescent="0.3">
      <c r="A2" t="s">
        <v>1</v>
      </c>
      <c r="B2" s="1" cm="1">
        <f t="array" ref="B2">_FV(B1,"Preço")</f>
        <v>12.7</v>
      </c>
      <c r="C2" s="2"/>
      <c r="F2" t="s">
        <v>40</v>
      </c>
      <c r="G2" t="s">
        <v>41</v>
      </c>
    </row>
    <row r="3" spans="1:7" x14ac:dyDescent="0.3">
      <c r="A3" t="s">
        <v>2</v>
      </c>
      <c r="B3">
        <v>21.302</v>
      </c>
      <c r="C3" s="4"/>
      <c r="G3" t="s">
        <v>54</v>
      </c>
    </row>
    <row r="4" spans="1:7" x14ac:dyDescent="0.3">
      <c r="A4" t="s">
        <v>3</v>
      </c>
      <c r="B4" s="2">
        <f>B2*B3</f>
        <v>270.53539999999998</v>
      </c>
    </row>
    <row r="5" spans="1:7" x14ac:dyDescent="0.3">
      <c r="A5" t="s">
        <v>4</v>
      </c>
      <c r="B5">
        <v>40.673999999999999</v>
      </c>
    </row>
    <row r="6" spans="1:7" x14ac:dyDescent="0.3">
      <c r="A6" t="s">
        <v>5</v>
      </c>
      <c r="B6">
        <f>0.993+1</f>
        <v>1.9929999999999999</v>
      </c>
    </row>
    <row r="7" spans="1:7" x14ac:dyDescent="0.3">
      <c r="A7" t="s">
        <v>6</v>
      </c>
      <c r="B7" s="2">
        <f>B4-B5+B6</f>
        <v>231.85439999999997</v>
      </c>
    </row>
    <row r="8" spans="1:7" x14ac:dyDescent="0.3">
      <c r="B8" s="2"/>
    </row>
    <row r="9" spans="1:7" x14ac:dyDescent="0.3">
      <c r="A9" s="5" t="s">
        <v>51</v>
      </c>
      <c r="B9" t="s">
        <v>52</v>
      </c>
    </row>
    <row r="10" spans="1:7" x14ac:dyDescent="0.3">
      <c r="A10" t="s">
        <v>38</v>
      </c>
    </row>
    <row r="11" spans="1:7" x14ac:dyDescent="0.3">
      <c r="A11" s="7" t="s">
        <v>39</v>
      </c>
      <c r="D11" t="s">
        <v>53</v>
      </c>
    </row>
    <row r="12" spans="1:7" x14ac:dyDescent="0.3">
      <c r="A12" s="7" t="s">
        <v>42</v>
      </c>
    </row>
    <row r="15" spans="1:7" x14ac:dyDescent="0.3">
      <c r="A15" s="5" t="s">
        <v>43</v>
      </c>
      <c r="B15" s="5" t="s">
        <v>44</v>
      </c>
      <c r="C15" s="5" t="s">
        <v>50</v>
      </c>
    </row>
    <row r="16" spans="1:7" x14ac:dyDescent="0.3">
      <c r="A16" t="s">
        <v>45</v>
      </c>
      <c r="B16" s="8">
        <v>0.25</v>
      </c>
      <c r="C16">
        <v>10</v>
      </c>
    </row>
    <row r="17" spans="1:3" x14ac:dyDescent="0.3">
      <c r="A17" t="s">
        <v>46</v>
      </c>
      <c r="B17" s="8">
        <v>0.15</v>
      </c>
      <c r="C17">
        <v>1</v>
      </c>
    </row>
    <row r="18" spans="1:3" x14ac:dyDescent="0.3">
      <c r="A18" t="s">
        <v>47</v>
      </c>
      <c r="B18" s="8">
        <v>0.12</v>
      </c>
      <c r="C18">
        <v>1</v>
      </c>
    </row>
    <row r="19" spans="1:3" x14ac:dyDescent="0.3">
      <c r="A19" t="s">
        <v>48</v>
      </c>
      <c r="B19" s="8">
        <v>0.09</v>
      </c>
      <c r="C19">
        <v>5</v>
      </c>
    </row>
    <row r="20" spans="1:3" x14ac:dyDescent="0.3">
      <c r="A20" t="s">
        <v>49</v>
      </c>
      <c r="B20" s="8">
        <v>0.01</v>
      </c>
      <c r="C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DF11C-9DBE-44B5-8C20-6F38877A393D}">
  <dimension ref="A1:T26"/>
  <sheetViews>
    <sheetView tabSelected="1" workbookViewId="0">
      <pane xSplit="1" ySplit="1" topLeftCell="C2" activePane="bottomRight" state="frozen"/>
      <selection pane="topRight" activeCell="B1" sqref="B1"/>
      <selection pane="bottomLeft" activeCell="A2" sqref="A2"/>
      <selection pane="bottomRight" activeCell="L7" sqref="L7"/>
    </sheetView>
  </sheetViews>
  <sheetFormatPr defaultRowHeight="14.4" x14ac:dyDescent="0.3"/>
  <cols>
    <col min="1" max="1" width="26.109375" bestFit="1" customWidth="1"/>
    <col min="2" max="9" width="10.44140625" bestFit="1" customWidth="1"/>
  </cols>
  <sheetData>
    <row r="1" spans="1:20" x14ac:dyDescent="0.3">
      <c r="B1" s="5" t="s">
        <v>32</v>
      </c>
      <c r="C1" s="5" t="s">
        <v>11</v>
      </c>
      <c r="D1" s="5" t="s">
        <v>33</v>
      </c>
      <c r="E1" s="5" t="s">
        <v>34</v>
      </c>
      <c r="F1" s="5" t="s">
        <v>35</v>
      </c>
      <c r="G1" s="5" t="s">
        <v>12</v>
      </c>
      <c r="H1" s="5" t="s">
        <v>36</v>
      </c>
      <c r="I1" s="5" t="s">
        <v>37</v>
      </c>
      <c r="K1" s="5">
        <v>2021</v>
      </c>
      <c r="L1" s="5">
        <v>2022</v>
      </c>
      <c r="M1" s="5">
        <f>L1+1</f>
        <v>2023</v>
      </c>
      <c r="N1" s="5">
        <f t="shared" ref="N1:T1" si="0">M1+1</f>
        <v>2024</v>
      </c>
      <c r="O1" s="5">
        <f t="shared" si="0"/>
        <v>2025</v>
      </c>
      <c r="P1" s="5">
        <f t="shared" si="0"/>
        <v>2026</v>
      </c>
      <c r="Q1" s="5">
        <f t="shared" si="0"/>
        <v>2027</v>
      </c>
      <c r="R1" s="5">
        <f t="shared" si="0"/>
        <v>2028</v>
      </c>
      <c r="S1" s="5">
        <f t="shared" si="0"/>
        <v>2029</v>
      </c>
      <c r="T1" s="5">
        <f t="shared" si="0"/>
        <v>2030</v>
      </c>
    </row>
    <row r="2" spans="1:20" x14ac:dyDescent="0.3">
      <c r="A2" t="s">
        <v>7</v>
      </c>
      <c r="B2">
        <v>9.0969999999999995</v>
      </c>
      <c r="C2">
        <v>9.5239999999999991</v>
      </c>
      <c r="D2">
        <v>11.638999999999999</v>
      </c>
      <c r="E2">
        <f>L2-SUM(B2:D2)</f>
        <v>12.105000000000004</v>
      </c>
      <c r="F2">
        <v>11.157</v>
      </c>
      <c r="G2">
        <v>11.183</v>
      </c>
      <c r="K2">
        <v>27.445</v>
      </c>
      <c r="L2">
        <v>42.365000000000002</v>
      </c>
    </row>
    <row r="3" spans="1:20" x14ac:dyDescent="0.3">
      <c r="A3" t="s">
        <v>8</v>
      </c>
      <c r="B3">
        <v>0.91900000000000004</v>
      </c>
      <c r="C3">
        <v>0.94799999999999995</v>
      </c>
      <c r="D3">
        <v>0.434</v>
      </c>
      <c r="E3">
        <f t="shared" ref="E3:E17" si="1">L3-SUM(B3:D3)</f>
        <v>0.12799999999999967</v>
      </c>
      <c r="F3">
        <v>0.128</v>
      </c>
      <c r="G3">
        <v>0.13100000000000001</v>
      </c>
      <c r="K3">
        <v>0.61299999999999999</v>
      </c>
      <c r="L3">
        <v>2.4289999999999998</v>
      </c>
    </row>
    <row r="4" spans="1:20" x14ac:dyDescent="0.3">
      <c r="A4" t="s">
        <v>9</v>
      </c>
      <c r="B4">
        <v>0.15</v>
      </c>
      <c r="C4">
        <v>4.1000000000000002E-2</v>
      </c>
      <c r="E4">
        <f t="shared" si="1"/>
        <v>-0.191</v>
      </c>
      <c r="F4">
        <v>0.13100000000000001</v>
      </c>
      <c r="G4">
        <v>6.2E-2</v>
      </c>
    </row>
    <row r="5" spans="1:20" s="5" customFormat="1" x14ac:dyDescent="0.3">
      <c r="A5" s="5" t="s">
        <v>10</v>
      </c>
      <c r="B5" s="5">
        <f>B2+B3+B4</f>
        <v>10.166</v>
      </c>
      <c r="C5" s="5">
        <f>C2+C3+C4</f>
        <v>10.513</v>
      </c>
      <c r="D5" s="5">
        <f t="shared" ref="D5" si="2">D2+D3+D4</f>
        <v>12.072999999999999</v>
      </c>
      <c r="E5" s="5">
        <f>L5-SUM(B5:D5)</f>
        <v>12.042000000000002</v>
      </c>
      <c r="F5" s="5">
        <f>F2+F3+F4</f>
        <v>11.416</v>
      </c>
      <c r="G5" s="5">
        <f>G2+G3+G4</f>
        <v>11.375999999999999</v>
      </c>
      <c r="K5" s="5">
        <f>K2+K3+K4</f>
        <v>28.058</v>
      </c>
      <c r="L5" s="5">
        <f>L2+L3+L4</f>
        <v>44.794000000000004</v>
      </c>
      <c r="M5" s="5">
        <v>51.942999999999998</v>
      </c>
      <c r="N5" s="5">
        <v>54.323999999999998</v>
      </c>
      <c r="O5" s="5">
        <v>55.723999999999997</v>
      </c>
      <c r="P5" s="5">
        <v>57.161000000000001</v>
      </c>
      <c r="Q5" s="5">
        <f t="shared" ref="Q5:T5" si="3">P5*1.05</f>
        <v>60.019050000000007</v>
      </c>
      <c r="R5" s="5">
        <f t="shared" si="3"/>
        <v>63.020002500000011</v>
      </c>
      <c r="S5" s="5">
        <f t="shared" si="3"/>
        <v>66.171002625000014</v>
      </c>
      <c r="T5" s="5">
        <f t="shared" si="3"/>
        <v>69.479552756250015</v>
      </c>
    </row>
    <row r="6" spans="1:20" x14ac:dyDescent="0.3">
      <c r="A6" t="s">
        <v>14</v>
      </c>
      <c r="B6">
        <v>2.6789999999999998</v>
      </c>
      <c r="C6">
        <v>2.8039999999999998</v>
      </c>
      <c r="D6">
        <v>3.63</v>
      </c>
      <c r="E6">
        <f t="shared" si="1"/>
        <v>3.7119999999999997</v>
      </c>
      <c r="F6">
        <v>3.5609999999999999</v>
      </c>
      <c r="G6">
        <v>3.5680000000000001</v>
      </c>
      <c r="K6">
        <v>8.0969999999999995</v>
      </c>
      <c r="L6">
        <v>12.824999999999999</v>
      </c>
      <c r="M6">
        <f>L6</f>
        <v>12.824999999999999</v>
      </c>
      <c r="N6">
        <f>M6</f>
        <v>12.824999999999999</v>
      </c>
      <c r="O6">
        <f>N6*1.025</f>
        <v>13.145624999999999</v>
      </c>
      <c r="P6">
        <f t="shared" ref="P6:T6" si="4">O6*1.025</f>
        <v>13.474265624999997</v>
      </c>
      <c r="Q6">
        <f t="shared" si="4"/>
        <v>13.811122265624997</v>
      </c>
      <c r="R6">
        <f t="shared" si="4"/>
        <v>14.15640032226562</v>
      </c>
      <c r="S6">
        <f t="shared" si="4"/>
        <v>14.510310330322259</v>
      </c>
      <c r="T6">
        <f t="shared" si="4"/>
        <v>14.873068088580315</v>
      </c>
    </row>
    <row r="7" spans="1:20" x14ac:dyDescent="0.3">
      <c r="A7" t="s">
        <v>15</v>
      </c>
      <c r="B7">
        <v>0.83599999999999997</v>
      </c>
      <c r="C7">
        <v>2.8170000000000002</v>
      </c>
      <c r="D7">
        <v>0.76</v>
      </c>
      <c r="E7">
        <f t="shared" si="1"/>
        <v>0.16299999999999937</v>
      </c>
      <c r="F7">
        <v>0.81899999999999995</v>
      </c>
      <c r="G7">
        <v>1.1499999999999999</v>
      </c>
      <c r="K7">
        <v>2.9889999999999999</v>
      </c>
      <c r="L7">
        <v>4.5759999999999996</v>
      </c>
      <c r="M7">
        <v>4.5759999999999996</v>
      </c>
      <c r="N7">
        <v>4.5759999999999996</v>
      </c>
      <c r="O7">
        <f>N7*0.99</f>
        <v>4.5302399999999992</v>
      </c>
      <c r="P7">
        <f t="shared" ref="P7:T7" si="5">O7*0.99</f>
        <v>4.4849375999999994</v>
      </c>
      <c r="Q7">
        <f t="shared" si="5"/>
        <v>4.4400882239999993</v>
      </c>
      <c r="R7">
        <f t="shared" si="5"/>
        <v>4.3956873417599995</v>
      </c>
      <c r="S7">
        <f t="shared" si="5"/>
        <v>4.3517304683423994</v>
      </c>
      <c r="T7">
        <f t="shared" si="5"/>
        <v>4.3082131636589756</v>
      </c>
    </row>
    <row r="8" spans="1:20" x14ac:dyDescent="0.3">
      <c r="A8" t="s">
        <v>16</v>
      </c>
      <c r="B8">
        <v>0.54100000000000004</v>
      </c>
      <c r="C8">
        <v>0.66</v>
      </c>
      <c r="D8">
        <v>0.27900000000000003</v>
      </c>
      <c r="E8">
        <f t="shared" si="1"/>
        <v>9.4999999999999973E-2</v>
      </c>
      <c r="F8">
        <v>0.32200000000000001</v>
      </c>
      <c r="G8">
        <v>0.36399999999999999</v>
      </c>
      <c r="K8">
        <v>2.04</v>
      </c>
      <c r="L8">
        <v>1.575</v>
      </c>
      <c r="M8">
        <v>4.5759999999999996</v>
      </c>
      <c r="N8">
        <v>4.5759999999999996</v>
      </c>
      <c r="O8">
        <f>N8*1.025</f>
        <v>4.6903999999999995</v>
      </c>
      <c r="P8">
        <f t="shared" ref="P8:T8" si="6">O8*1.025</f>
        <v>4.8076599999999994</v>
      </c>
      <c r="Q8">
        <f t="shared" si="6"/>
        <v>4.9278514999999992</v>
      </c>
      <c r="R8">
        <f t="shared" si="6"/>
        <v>5.0510477874999991</v>
      </c>
      <c r="S8">
        <f t="shared" si="6"/>
        <v>5.1773239821874988</v>
      </c>
      <c r="T8">
        <f t="shared" si="6"/>
        <v>5.3067570817421856</v>
      </c>
    </row>
    <row r="9" spans="1:20" x14ac:dyDescent="0.3">
      <c r="A9" t="s">
        <v>17</v>
      </c>
      <c r="B9">
        <f>0.405+0.532</f>
        <v>0.93700000000000006</v>
      </c>
      <c r="C9">
        <v>0.44400000000000001</v>
      </c>
      <c r="D9">
        <f>0.28+0.414</f>
        <v>0.69399999999999995</v>
      </c>
      <c r="E9">
        <f t="shared" si="1"/>
        <v>1.1669999999999998</v>
      </c>
      <c r="F9">
        <f>0.308+0.564</f>
        <v>0.87199999999999989</v>
      </c>
      <c r="G9">
        <v>0.50700000000000001</v>
      </c>
      <c r="K9">
        <f>2.02+1.417</f>
        <v>3.4370000000000003</v>
      </c>
      <c r="L9">
        <f>1.493+1.749</f>
        <v>3.242</v>
      </c>
      <c r="M9">
        <f>L9*0.99</f>
        <v>3.2095799999999999</v>
      </c>
      <c r="N9">
        <f>M9*0.99</f>
        <v>3.1774841999999999</v>
      </c>
      <c r="O9">
        <f t="shared" ref="O9:T9" si="7">N9*0.99</f>
        <v>3.145709358</v>
      </c>
      <c r="P9">
        <f t="shared" si="7"/>
        <v>3.1142522644200001</v>
      </c>
      <c r="Q9">
        <f t="shared" si="7"/>
        <v>3.0831097417758002</v>
      </c>
      <c r="R9">
        <f t="shared" si="7"/>
        <v>3.0522786443580423</v>
      </c>
      <c r="S9">
        <f t="shared" si="7"/>
        <v>3.0217558579144619</v>
      </c>
      <c r="T9">
        <f t="shared" si="7"/>
        <v>2.9915382993353172</v>
      </c>
    </row>
    <row r="10" spans="1:20" x14ac:dyDescent="0.3">
      <c r="A10" t="s">
        <v>18</v>
      </c>
      <c r="B10">
        <f>B7+B8+B9</f>
        <v>2.3140000000000001</v>
      </c>
      <c r="C10">
        <f>C7+C8+C9</f>
        <v>3.9210000000000003</v>
      </c>
      <c r="D10">
        <f t="shared" ref="D10" si="8">D7+D8+D9</f>
        <v>1.7330000000000001</v>
      </c>
      <c r="E10">
        <f t="shared" si="1"/>
        <v>1.4250000000000007</v>
      </c>
      <c r="F10">
        <f>F7+F8+F9</f>
        <v>2.0129999999999999</v>
      </c>
      <c r="G10">
        <f>G7+G8+G9</f>
        <v>2.0209999999999999</v>
      </c>
      <c r="K10">
        <f>K7+K8+K9</f>
        <v>8.4660000000000011</v>
      </c>
      <c r="L10">
        <f>L7+L8+L9</f>
        <v>9.3930000000000007</v>
      </c>
      <c r="M10">
        <f>M7+M8+M9</f>
        <v>12.36158</v>
      </c>
      <c r="N10">
        <f t="shared" ref="N10:T10" si="9">N7+N8+N9</f>
        <v>12.3294842</v>
      </c>
      <c r="O10">
        <f t="shared" si="9"/>
        <v>12.366349357999999</v>
      </c>
      <c r="P10">
        <f t="shared" si="9"/>
        <v>12.40684986442</v>
      </c>
      <c r="Q10">
        <f t="shared" si="9"/>
        <v>12.4510494657758</v>
      </c>
      <c r="R10">
        <f t="shared" si="9"/>
        <v>12.49901377361804</v>
      </c>
      <c r="S10">
        <f t="shared" si="9"/>
        <v>12.55081030844436</v>
      </c>
      <c r="T10">
        <f t="shared" si="9"/>
        <v>12.606508544736478</v>
      </c>
    </row>
    <row r="11" spans="1:20" x14ac:dyDescent="0.3">
      <c r="A11" t="s">
        <v>13</v>
      </c>
      <c r="B11">
        <f>B6+B10</f>
        <v>4.9930000000000003</v>
      </c>
      <c r="C11">
        <f>C6+C10</f>
        <v>6.7249999999999996</v>
      </c>
      <c r="D11">
        <f t="shared" ref="D11" si="10">D6+D10</f>
        <v>5.3629999999999995</v>
      </c>
      <c r="E11">
        <f t="shared" si="1"/>
        <v>5.1370000000000005</v>
      </c>
      <c r="F11">
        <f>F6+F10</f>
        <v>5.5739999999999998</v>
      </c>
      <c r="G11">
        <f>G6+G10</f>
        <v>5.5890000000000004</v>
      </c>
      <c r="K11">
        <f>K6+K10</f>
        <v>16.563000000000002</v>
      </c>
      <c r="L11">
        <f>L6+L10</f>
        <v>22.218</v>
      </c>
      <c r="M11">
        <f>M6+M10</f>
        <v>25.186579999999999</v>
      </c>
      <c r="N11">
        <f t="shared" ref="N11:T11" si="11">N6+N10</f>
        <v>25.154484199999999</v>
      </c>
      <c r="O11">
        <f t="shared" si="11"/>
        <v>25.511974357999996</v>
      </c>
      <c r="P11">
        <f t="shared" si="11"/>
        <v>25.881115489419997</v>
      </c>
      <c r="Q11">
        <f t="shared" si="11"/>
        <v>26.262171731400798</v>
      </c>
      <c r="R11">
        <f t="shared" si="11"/>
        <v>26.655414095883661</v>
      </c>
      <c r="S11">
        <f t="shared" si="11"/>
        <v>27.061120638766617</v>
      </c>
      <c r="T11">
        <f t="shared" si="11"/>
        <v>27.479576633316793</v>
      </c>
    </row>
    <row r="12" spans="1:20" x14ac:dyDescent="0.3">
      <c r="A12" t="s">
        <v>19</v>
      </c>
      <c r="B12">
        <f>B5-B11</f>
        <v>5.173</v>
      </c>
      <c r="C12">
        <f>C5-C11</f>
        <v>3.7880000000000003</v>
      </c>
      <c r="D12">
        <f t="shared" ref="D12" si="12">D5-D11</f>
        <v>6.7099999999999991</v>
      </c>
      <c r="E12">
        <f t="shared" si="1"/>
        <v>6.9050000000000047</v>
      </c>
      <c r="F12">
        <f>F5-F11</f>
        <v>5.8420000000000005</v>
      </c>
      <c r="G12">
        <f>G5-G11</f>
        <v>5.786999999999999</v>
      </c>
      <c r="K12">
        <f>K5-K11</f>
        <v>11.494999999999997</v>
      </c>
      <c r="L12">
        <f>L5-L11</f>
        <v>22.576000000000004</v>
      </c>
      <c r="M12">
        <f>M5-M11</f>
        <v>26.756419999999999</v>
      </c>
      <c r="N12">
        <f t="shared" ref="N12:T12" si="13">N5-N11</f>
        <v>29.169515799999999</v>
      </c>
      <c r="O12">
        <f t="shared" si="13"/>
        <v>30.212025642</v>
      </c>
      <c r="P12">
        <f t="shared" si="13"/>
        <v>31.279884510580004</v>
      </c>
      <c r="Q12">
        <f t="shared" si="13"/>
        <v>33.756878268599209</v>
      </c>
      <c r="R12">
        <f t="shared" si="13"/>
        <v>36.364588404116347</v>
      </c>
      <c r="S12">
        <f t="shared" si="13"/>
        <v>39.109881986233397</v>
      </c>
      <c r="T12">
        <f t="shared" si="13"/>
        <v>41.999976122933219</v>
      </c>
    </row>
    <row r="13" spans="1:20" x14ac:dyDescent="0.3">
      <c r="A13" t="s">
        <v>20</v>
      </c>
      <c r="B13">
        <v>-0.06</v>
      </c>
      <c r="C13">
        <v>4.8000000000000001E-2</v>
      </c>
      <c r="E13">
        <f t="shared" si="1"/>
        <v>-4.8000000000000001E-2</v>
      </c>
      <c r="F13">
        <v>0</v>
      </c>
      <c r="G13">
        <v>0.20799999999999999</v>
      </c>
      <c r="K13">
        <v>-4.0000000000000001E-3</v>
      </c>
      <c r="L13">
        <v>-0.06</v>
      </c>
    </row>
    <row r="14" spans="1:20" x14ac:dyDescent="0.3">
      <c r="A14" t="s">
        <v>21</v>
      </c>
      <c r="B14">
        <v>-2.1000000000000001E-2</v>
      </c>
      <c r="C14">
        <v>4.5999999999999999E-2</v>
      </c>
      <c r="D14">
        <v>8.6999999999999994E-2</v>
      </c>
      <c r="E14">
        <f t="shared" si="1"/>
        <v>4.8000000000000015E-2</v>
      </c>
      <c r="F14">
        <v>-0.128</v>
      </c>
      <c r="G14">
        <v>9.7000000000000003E-2</v>
      </c>
      <c r="K14">
        <v>-9.4E-2</v>
      </c>
      <c r="L14">
        <v>0.16</v>
      </c>
      <c r="M14">
        <v>0</v>
      </c>
      <c r="N14">
        <v>0</v>
      </c>
      <c r="O14">
        <v>0</v>
      </c>
      <c r="P14">
        <v>0</v>
      </c>
      <c r="Q14">
        <v>0</v>
      </c>
      <c r="R14">
        <v>0</v>
      </c>
      <c r="S14">
        <v>0</v>
      </c>
      <c r="T14">
        <v>0</v>
      </c>
    </row>
    <row r="15" spans="1:20" x14ac:dyDescent="0.3">
      <c r="A15" t="s">
        <v>22</v>
      </c>
      <c r="B15">
        <f>B12+B13-B14</f>
        <v>5.1340000000000003</v>
      </c>
      <c r="C15">
        <f>C12+C13-C14</f>
        <v>3.7900000000000005</v>
      </c>
      <c r="D15">
        <f t="shared" ref="D15" si="14">D12+D13-D14</f>
        <v>6.6229999999999993</v>
      </c>
      <c r="E15">
        <f t="shared" si="1"/>
        <v>6.8090000000000046</v>
      </c>
      <c r="F15">
        <f>F12+F13-F14</f>
        <v>5.9700000000000006</v>
      </c>
      <c r="G15">
        <f>G12+G13-G14</f>
        <v>5.8979999999999988</v>
      </c>
      <c r="K15">
        <f>K12+K13-K14</f>
        <v>11.584999999999997</v>
      </c>
      <c r="L15">
        <f>L12+L13-L14</f>
        <v>22.356000000000005</v>
      </c>
      <c r="M15">
        <f t="shared" ref="M15:T15" si="15">M12+M13-M14</f>
        <v>26.756419999999999</v>
      </c>
      <c r="N15">
        <f t="shared" si="15"/>
        <v>29.169515799999999</v>
      </c>
      <c r="O15">
        <f t="shared" si="15"/>
        <v>30.212025642</v>
      </c>
      <c r="P15">
        <f t="shared" si="15"/>
        <v>31.279884510580004</v>
      </c>
      <c r="Q15">
        <f t="shared" si="15"/>
        <v>33.756878268599209</v>
      </c>
      <c r="R15">
        <f t="shared" si="15"/>
        <v>36.364588404116347</v>
      </c>
      <c r="S15">
        <f t="shared" si="15"/>
        <v>39.109881986233397</v>
      </c>
      <c r="T15">
        <f t="shared" si="15"/>
        <v>41.999976122933219</v>
      </c>
    </row>
    <row r="16" spans="1:20" x14ac:dyDescent="0.3">
      <c r="A16" t="s">
        <v>23</v>
      </c>
      <c r="B16">
        <v>0.11700000000000001</v>
      </c>
      <c r="C16">
        <v>3.2000000000000001E-2</v>
      </c>
      <c r="D16">
        <v>0.113</v>
      </c>
      <c r="E16">
        <f t="shared" si="1"/>
        <v>0.11799999999999999</v>
      </c>
      <c r="F16">
        <v>0.10199999999999999</v>
      </c>
      <c r="G16">
        <v>0.10100000000000001</v>
      </c>
      <c r="K16">
        <v>0.35599999999999998</v>
      </c>
      <c r="L16">
        <v>0.38</v>
      </c>
      <c r="M16">
        <f>L16</f>
        <v>0.38</v>
      </c>
      <c r="N16">
        <f t="shared" ref="N16:T16" si="16">M16</f>
        <v>0.38</v>
      </c>
      <c r="O16">
        <f t="shared" si="16"/>
        <v>0.38</v>
      </c>
      <c r="P16">
        <f t="shared" si="16"/>
        <v>0.38</v>
      </c>
      <c r="Q16">
        <f t="shared" si="16"/>
        <v>0.38</v>
      </c>
      <c r="R16">
        <f t="shared" si="16"/>
        <v>0.38</v>
      </c>
      <c r="S16">
        <f t="shared" si="16"/>
        <v>0.38</v>
      </c>
      <c r="T16">
        <f t="shared" si="16"/>
        <v>0.38</v>
      </c>
    </row>
    <row r="17" spans="1:20" s="5" customFormat="1" x14ac:dyDescent="0.3">
      <c r="A17" s="5" t="s">
        <v>24</v>
      </c>
      <c r="B17" s="5">
        <f>B15-B16</f>
        <v>5.0170000000000003</v>
      </c>
      <c r="C17" s="5">
        <f>C15-C16</f>
        <v>3.7580000000000005</v>
      </c>
      <c r="D17" s="5">
        <f t="shared" ref="D17" si="17">D15-D16</f>
        <v>6.5099999999999989</v>
      </c>
      <c r="E17" s="5">
        <f t="shared" si="1"/>
        <v>6.6910000000000061</v>
      </c>
      <c r="F17" s="5">
        <f>F15-F16</f>
        <v>5.8680000000000003</v>
      </c>
      <c r="G17" s="5">
        <f>G15-G16</f>
        <v>5.7969999999999988</v>
      </c>
      <c r="K17" s="5">
        <f>K15-K16</f>
        <v>11.228999999999997</v>
      </c>
      <c r="L17" s="5">
        <f>L15-L16</f>
        <v>21.976000000000006</v>
      </c>
      <c r="M17" s="5">
        <f t="shared" ref="M17:T17" si="18">M15-M16</f>
        <v>26.37642</v>
      </c>
      <c r="N17" s="5">
        <f t="shared" si="18"/>
        <v>28.7895158</v>
      </c>
      <c r="O17" s="5">
        <f t="shared" si="18"/>
        <v>29.832025642000001</v>
      </c>
      <c r="P17" s="5">
        <f t="shared" si="18"/>
        <v>30.899884510580005</v>
      </c>
      <c r="Q17" s="5">
        <f t="shared" si="18"/>
        <v>33.376878268599206</v>
      </c>
      <c r="R17" s="5">
        <f t="shared" si="18"/>
        <v>35.984588404116344</v>
      </c>
      <c r="S17" s="5">
        <f t="shared" si="18"/>
        <v>38.729881986233394</v>
      </c>
      <c r="T17" s="5">
        <f t="shared" si="18"/>
        <v>41.619976122933217</v>
      </c>
    </row>
    <row r="18" spans="1:20" x14ac:dyDescent="0.3">
      <c r="A18" t="s">
        <v>26</v>
      </c>
      <c r="B18">
        <v>21.382000000000001</v>
      </c>
      <c r="C18">
        <v>21.306999999999999</v>
      </c>
      <c r="D18">
        <v>21.428000000000001</v>
      </c>
      <c r="E18">
        <f>L18</f>
        <v>21.417999999999999</v>
      </c>
      <c r="F18">
        <v>21.422999999999998</v>
      </c>
      <c r="G18">
        <v>21.369</v>
      </c>
      <c r="K18">
        <v>17.010999999999999</v>
      </c>
      <c r="L18">
        <v>21.417999999999999</v>
      </c>
    </row>
    <row r="20" spans="1:20" x14ac:dyDescent="0.3">
      <c r="A20" t="s">
        <v>25</v>
      </c>
      <c r="F20" s="3">
        <f>F5/B5-1</f>
        <v>0.12295888254967546</v>
      </c>
      <c r="G20" s="3">
        <f>G5/C5-1</f>
        <v>8.2088842385617866E-2</v>
      </c>
      <c r="L20" s="3">
        <f>L5/K5-1</f>
        <v>0.59647872264594781</v>
      </c>
      <c r="M20" s="3">
        <f t="shared" ref="M20:T20" si="19">M5/L5-1</f>
        <v>0.15959726749118164</v>
      </c>
      <c r="N20" s="3">
        <f t="shared" si="19"/>
        <v>4.5838707814334967E-2</v>
      </c>
      <c r="O20" s="3">
        <f t="shared" si="19"/>
        <v>2.5771298137103216E-2</v>
      </c>
      <c r="P20" s="3">
        <f t="shared" si="19"/>
        <v>2.5787811355968859E-2</v>
      </c>
      <c r="Q20" s="3">
        <f t="shared" si="19"/>
        <v>5.0000000000000044E-2</v>
      </c>
      <c r="R20" s="3">
        <f t="shared" si="19"/>
        <v>5.0000000000000044E-2</v>
      </c>
      <c r="S20" s="3">
        <f t="shared" si="19"/>
        <v>5.0000000000000044E-2</v>
      </c>
      <c r="T20" s="3">
        <f t="shared" si="19"/>
        <v>5.0000000000000044E-2</v>
      </c>
    </row>
    <row r="21" spans="1:20" x14ac:dyDescent="0.3">
      <c r="A21" t="s">
        <v>27</v>
      </c>
      <c r="B21" s="3">
        <f>B12/B5</f>
        <v>0.50885303954357664</v>
      </c>
      <c r="C21" s="3">
        <f>C12/C5</f>
        <v>0.36031579948635029</v>
      </c>
      <c r="D21" s="3">
        <f t="shared" ref="D21:F21" si="20">D12/D5</f>
        <v>0.55578563737264974</v>
      </c>
      <c r="E21" s="3">
        <f t="shared" si="20"/>
        <v>0.57340973260255801</v>
      </c>
      <c r="F21" s="3">
        <f t="shared" si="20"/>
        <v>0.51173791170287319</v>
      </c>
      <c r="G21" s="3">
        <f>G12/G5</f>
        <v>0.50870253164556956</v>
      </c>
      <c r="K21" s="3">
        <f>K12/K5</f>
        <v>0.40968707676954869</v>
      </c>
      <c r="L21" s="3">
        <f>L12/L5</f>
        <v>0.50399607090235299</v>
      </c>
      <c r="M21" s="3">
        <f t="shared" ref="M21:T21" si="21">M12/M5</f>
        <v>0.51511117956221242</v>
      </c>
      <c r="N21" s="3">
        <f t="shared" si="21"/>
        <v>0.53695449156910391</v>
      </c>
      <c r="O21" s="3">
        <f t="shared" si="21"/>
        <v>0.54217259425023334</v>
      </c>
      <c r="P21" s="3">
        <f t="shared" si="21"/>
        <v>0.54722423524046127</v>
      </c>
      <c r="Q21" s="3">
        <f t="shared" si="21"/>
        <v>0.56243606435955262</v>
      </c>
      <c r="R21" s="3">
        <f t="shared" si="21"/>
        <v>0.57703248114146521</v>
      </c>
      <c r="S21" s="3">
        <f t="shared" si="21"/>
        <v>0.59104260831401279</v>
      </c>
      <c r="T21" s="3">
        <f t="shared" si="21"/>
        <v>0.6044940483465493</v>
      </c>
    </row>
    <row r="22" spans="1:20" x14ac:dyDescent="0.3">
      <c r="A22" t="s">
        <v>28</v>
      </c>
      <c r="B22" s="3">
        <f>B17/B5</f>
        <v>0.49350777100137716</v>
      </c>
      <c r="C22" s="3">
        <f>C17/C5</f>
        <v>0.35746218966993248</v>
      </c>
      <c r="D22" s="3">
        <f t="shared" ref="D22:F22" si="22">D17/D5</f>
        <v>0.53921974654187022</v>
      </c>
      <c r="E22" s="3">
        <f t="shared" si="22"/>
        <v>0.55563859823949557</v>
      </c>
      <c r="F22" s="3">
        <f t="shared" si="22"/>
        <v>0.51401541695865449</v>
      </c>
      <c r="G22" s="3">
        <f>G17/G5</f>
        <v>0.50958157524613212</v>
      </c>
      <c r="K22" s="3">
        <f>K17/K5</f>
        <v>0.40020671466248475</v>
      </c>
      <c r="L22" s="3">
        <f>L17/L5</f>
        <v>0.49060141983301342</v>
      </c>
      <c r="M22" s="3">
        <f t="shared" ref="M22:T22" si="23">M17/M5</f>
        <v>0.50779546810927367</v>
      </c>
      <c r="N22" s="3">
        <f t="shared" si="23"/>
        <v>0.52995942493189019</v>
      </c>
      <c r="O22" s="3">
        <f t="shared" si="23"/>
        <v>0.5353532704400259</v>
      </c>
      <c r="P22" s="3">
        <f t="shared" si="23"/>
        <v>0.54057634594531245</v>
      </c>
      <c r="Q22" s="3">
        <f t="shared" si="23"/>
        <v>0.55610474122131559</v>
      </c>
      <c r="R22" s="3">
        <f t="shared" si="23"/>
        <v>0.57100264958123947</v>
      </c>
      <c r="S22" s="3">
        <f t="shared" si="23"/>
        <v>0.58529991158998829</v>
      </c>
      <c r="T22" s="3">
        <f t="shared" si="23"/>
        <v>0.59902481337128788</v>
      </c>
    </row>
    <row r="24" spans="1:20" x14ac:dyDescent="0.3">
      <c r="A24" t="s">
        <v>29</v>
      </c>
      <c r="B24">
        <v>8.2850000000000001</v>
      </c>
      <c r="C24">
        <v>8.7520000000000007</v>
      </c>
      <c r="D24">
        <v>10.622999999999999</v>
      </c>
      <c r="E24" s="6">
        <f>L24-SUM(B24:D24)</f>
        <v>11.001000000000005</v>
      </c>
      <c r="F24">
        <v>9.907</v>
      </c>
      <c r="G24">
        <v>9.9120000000000008</v>
      </c>
      <c r="K24">
        <v>21.748999999999999</v>
      </c>
      <c r="L24">
        <v>38.661000000000001</v>
      </c>
      <c r="M24">
        <f>M5*0.85</f>
        <v>44.15155</v>
      </c>
      <c r="N24">
        <f t="shared" ref="N24:T24" si="24">N5*0.85</f>
        <v>46.175399999999996</v>
      </c>
      <c r="O24">
        <f t="shared" si="24"/>
        <v>47.365399999999994</v>
      </c>
      <c r="P24">
        <f t="shared" si="24"/>
        <v>48.586849999999998</v>
      </c>
      <c r="Q24">
        <f t="shared" si="24"/>
        <v>51.016192500000002</v>
      </c>
      <c r="R24">
        <f t="shared" si="24"/>
        <v>53.567002125000009</v>
      </c>
      <c r="S24">
        <f t="shared" si="24"/>
        <v>56.24535223125001</v>
      </c>
      <c r="T24">
        <f t="shared" si="24"/>
        <v>59.057619842812514</v>
      </c>
    </row>
    <row r="25" spans="1:20" x14ac:dyDescent="0.3">
      <c r="A25" t="s">
        <v>30</v>
      </c>
      <c r="B25">
        <f>13.612/2</f>
        <v>6.806</v>
      </c>
      <c r="C25">
        <f>13.612/2</f>
        <v>6.806</v>
      </c>
      <c r="D25" s="6">
        <f>21.074/3</f>
        <v>7.0246666666666675</v>
      </c>
      <c r="E25" s="6">
        <f>L25-SUM(B25:D25)</f>
        <v>8.3563333333333318</v>
      </c>
      <c r="F25">
        <f>16.679/2</f>
        <v>8.3394999999999992</v>
      </c>
      <c r="G25">
        <f>16.679/2</f>
        <v>8.3394999999999992</v>
      </c>
      <c r="K25">
        <f>11.665+0.004</f>
        <v>11.668999999999999</v>
      </c>
      <c r="L25">
        <v>28.992999999999999</v>
      </c>
      <c r="M25">
        <f>L25*1.03</f>
        <v>29.86279</v>
      </c>
      <c r="N25">
        <f t="shared" ref="N25:T25" si="25">M25*1.03</f>
        <v>30.758673700000003</v>
      </c>
      <c r="O25">
        <f t="shared" si="25"/>
        <v>31.681433911000003</v>
      </c>
      <c r="P25">
        <f t="shared" si="25"/>
        <v>32.631876928330001</v>
      </c>
      <c r="Q25">
        <f t="shared" si="25"/>
        <v>33.6108332361799</v>
      </c>
      <c r="R25">
        <f t="shared" si="25"/>
        <v>34.619158233265296</v>
      </c>
      <c r="S25">
        <f t="shared" si="25"/>
        <v>35.657732980263255</v>
      </c>
      <c r="T25">
        <f t="shared" si="25"/>
        <v>36.727464969671153</v>
      </c>
    </row>
    <row r="26" spans="1:20" x14ac:dyDescent="0.3">
      <c r="A26" t="s">
        <v>31</v>
      </c>
      <c r="B26" s="3">
        <f>B25/B24</f>
        <v>0.82148461074230539</v>
      </c>
      <c r="C26" s="3">
        <f>C25/C24</f>
        <v>0.77765082266910412</v>
      </c>
      <c r="D26" s="3">
        <f t="shared" ref="D26:G26" si="26">D25/D24</f>
        <v>0.66126957231165095</v>
      </c>
      <c r="E26" s="3">
        <f t="shared" si="26"/>
        <v>0.75959761233827183</v>
      </c>
      <c r="F26" s="3">
        <f t="shared" si="26"/>
        <v>0.84177854042596134</v>
      </c>
      <c r="G26" s="3">
        <f t="shared" si="26"/>
        <v>0.84135391444713459</v>
      </c>
      <c r="K26" s="3">
        <f>K25/K24</f>
        <v>0.53653041519150302</v>
      </c>
      <c r="L26" s="3">
        <f t="shared" ref="L26" si="27">L25/L24</f>
        <v>0.74992886888595733</v>
      </c>
      <c r="M26" s="3">
        <f t="shared" ref="M26" si="28">M25/M24</f>
        <v>0.6763701387607004</v>
      </c>
      <c r="N26" s="3">
        <f t="shared" ref="N26" si="29">N25/N24</f>
        <v>0.66612684892821727</v>
      </c>
      <c r="O26" s="3">
        <f t="shared" ref="O26" si="30">O25/O24</f>
        <v>0.66887293068357934</v>
      </c>
      <c r="P26" s="3">
        <f t="shared" ref="P26" si="31">P25/P24</f>
        <v>0.6716195210912006</v>
      </c>
      <c r="Q26" s="3">
        <f t="shared" ref="Q26" si="32">Q25/Q24</f>
        <v>0.65882676830851106</v>
      </c>
      <c r="R26" s="3">
        <f t="shared" ref="R26" si="33">R25/R24</f>
        <v>0.64627768700739641</v>
      </c>
      <c r="S26" s="3">
        <f t="shared" ref="S26" si="34">S25/S24</f>
        <v>0.63396763582630322</v>
      </c>
      <c r="T26" s="3">
        <f t="shared" ref="T26" si="35">T25/T24</f>
        <v>0.621892061810564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2023-11-04T20:30:03Z</dcterms:created>
  <dcterms:modified xsi:type="dcterms:W3CDTF">2023-11-06T08:27:22Z</dcterms:modified>
</cp:coreProperties>
</file>