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613" documentId="8_{1B954338-B70F-422A-8586-51F22D8C45EC}" xr6:coauthVersionLast="47" xr6:coauthVersionMax="47" xr10:uidLastSave="{3F68D489-96E4-4B72-9474-260539517178}"/>
  <bookViews>
    <workbookView xWindow="-108" yWindow="-108" windowWidth="23256" windowHeight="12456" activeTab="1" xr2:uid="{E71F28AF-95AF-47DB-8FFA-133D6E8D296A}"/>
  </bookViews>
  <sheets>
    <sheet name="main" sheetId="1" r:id="rId1"/>
    <sheet name="model" sheetId="2" r:id="rId2"/>
    <sheet name="managemen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20" i="2" l="1"/>
  <c r="T20" i="2" s="1"/>
  <c r="U20" i="2" s="1"/>
  <c r="V20" i="2" s="1"/>
  <c r="W20" i="2" s="1"/>
  <c r="R20" i="2"/>
  <c r="S11" i="2"/>
  <c r="T11" i="2" s="1"/>
  <c r="U11" i="2" s="1"/>
  <c r="V11" i="2" s="1"/>
  <c r="W11" i="2" s="1"/>
  <c r="R11" i="2"/>
  <c r="Q15" i="2"/>
  <c r="Q17" i="2" s="1"/>
  <c r="Q11" i="2"/>
  <c r="Q20" i="2"/>
  <c r="W2" i="2"/>
  <c r="R2" i="2"/>
  <c r="S2" i="2" s="1"/>
  <c r="T2" i="2" s="1"/>
  <c r="U2" i="2" s="1"/>
  <c r="V2" i="2" s="1"/>
  <c r="F24" i="2"/>
  <c r="F22" i="2"/>
  <c r="F21" i="2"/>
  <c r="F20" i="2"/>
  <c r="F19" i="2"/>
  <c r="F16" i="2"/>
  <c r="F15" i="2"/>
  <c r="F17" i="2" s="1"/>
  <c r="F13" i="2"/>
  <c r="F12" i="2"/>
  <c r="F11" i="2"/>
  <c r="O27" i="2"/>
  <c r="N37" i="2"/>
  <c r="M37" i="2"/>
  <c r="L37" i="2"/>
  <c r="O33" i="2"/>
  <c r="O32" i="2"/>
  <c r="P31" i="2"/>
  <c r="O31" i="2"/>
  <c r="O29" i="2"/>
  <c r="N29" i="2"/>
  <c r="M29" i="2"/>
  <c r="P29" i="2"/>
  <c r="O37" i="2"/>
  <c r="P37" i="2"/>
  <c r="O24" i="2"/>
  <c r="O17" i="2"/>
  <c r="O18" i="2" s="1"/>
  <c r="O23" i="2" s="1"/>
  <c r="N17" i="2"/>
  <c r="N18" i="2" s="1"/>
  <c r="N23" i="2" s="1"/>
  <c r="N25" i="2" s="1"/>
  <c r="M17" i="2"/>
  <c r="M18" i="2" s="1"/>
  <c r="M23" i="2" s="1"/>
  <c r="M25" i="2" s="1"/>
  <c r="L17" i="2"/>
  <c r="L18" i="2" s="1"/>
  <c r="L23" i="2" s="1"/>
  <c r="L25" i="2" s="1"/>
  <c r="P24" i="2"/>
  <c r="P18" i="2"/>
  <c r="P23" i="2" s="1"/>
  <c r="P25" i="2" s="1"/>
  <c r="P33" i="2" s="1"/>
  <c r="P17" i="2"/>
  <c r="O14" i="2"/>
  <c r="N14" i="2"/>
  <c r="M14" i="2"/>
  <c r="L14" i="2"/>
  <c r="P14" i="2"/>
  <c r="N2" i="2"/>
  <c r="O2" i="2" s="1"/>
  <c r="P2" i="2" s="1"/>
  <c r="Q2" i="2" s="1"/>
  <c r="M2" i="2"/>
  <c r="F37" i="2"/>
  <c r="E33" i="2"/>
  <c r="E32" i="2"/>
  <c r="E31" i="2"/>
  <c r="E37" i="2"/>
  <c r="E24" i="2"/>
  <c r="C27" i="2"/>
  <c r="G27" i="2"/>
  <c r="C37" i="2"/>
  <c r="G37" i="2"/>
  <c r="C33" i="2"/>
  <c r="C32" i="2"/>
  <c r="C31" i="2"/>
  <c r="G33" i="2"/>
  <c r="G32" i="2"/>
  <c r="G31" i="2"/>
  <c r="G29" i="2"/>
  <c r="C24" i="2"/>
  <c r="G24" i="2"/>
  <c r="D39" i="2"/>
  <c r="H39" i="2"/>
  <c r="H27" i="2"/>
  <c r="D37" i="2"/>
  <c r="H37" i="2"/>
  <c r="H29" i="2"/>
  <c r="D24" i="2"/>
  <c r="H24" i="2"/>
  <c r="G17" i="2"/>
  <c r="E17" i="2"/>
  <c r="D17" i="2"/>
  <c r="C17" i="2"/>
  <c r="H17" i="2"/>
  <c r="G14" i="2"/>
  <c r="E14" i="2"/>
  <c r="D14" i="2"/>
  <c r="D31" i="2" s="1"/>
  <c r="C14" i="2"/>
  <c r="H14" i="2"/>
  <c r="H31" i="2" s="1"/>
  <c r="I7" i="1"/>
  <c r="I6" i="1"/>
  <c r="I3" i="1" a="1"/>
  <c r="I3" i="1" s="1"/>
  <c r="I5" i="1" s="1"/>
  <c r="I8" i="1" s="1"/>
  <c r="R15" i="2" l="1"/>
  <c r="R17" i="2" s="1"/>
  <c r="R29" i="2"/>
  <c r="R14" i="2"/>
  <c r="R31" i="2" s="1"/>
  <c r="Q14" i="2"/>
  <c r="Q31" i="2" s="1"/>
  <c r="Q29" i="2"/>
  <c r="P27" i="2"/>
  <c r="P32" i="2"/>
  <c r="F14" i="2"/>
  <c r="F31" i="2" s="1"/>
  <c r="O25" i="2"/>
  <c r="H18" i="2"/>
  <c r="C18" i="2"/>
  <c r="C23" i="2" s="1"/>
  <c r="C25" i="2" s="1"/>
  <c r="E18" i="2"/>
  <c r="E23" i="2" s="1"/>
  <c r="E25" i="2" s="1"/>
  <c r="E27" i="2" s="1"/>
  <c r="G18" i="2"/>
  <c r="G23" i="2" s="1"/>
  <c r="G25" i="2" s="1"/>
  <c r="H32" i="2"/>
  <c r="H23" i="2"/>
  <c r="H25" i="2" s="1"/>
  <c r="H33" i="2" s="1"/>
  <c r="D18" i="2"/>
  <c r="S15" i="2" l="1"/>
  <c r="S17" i="2" s="1"/>
  <c r="R18" i="2"/>
  <c r="S29" i="2"/>
  <c r="S14" i="2"/>
  <c r="S31" i="2" s="1"/>
  <c r="Q18" i="2"/>
  <c r="F18" i="2"/>
  <c r="F23" i="2" s="1"/>
  <c r="F25" i="2" s="1"/>
  <c r="D23" i="2"/>
  <c r="D25" i="2" s="1"/>
  <c r="D32" i="2"/>
  <c r="T15" i="2" l="1"/>
  <c r="S18" i="2"/>
  <c r="S23" i="2" s="1"/>
  <c r="S24" i="2" s="1"/>
  <c r="S25" i="2" s="1"/>
  <c r="R23" i="2"/>
  <c r="R24" i="2" s="1"/>
  <c r="R25" i="2" s="1"/>
  <c r="R32" i="2"/>
  <c r="T29" i="2"/>
  <c r="T14" i="2"/>
  <c r="T31" i="2" s="1"/>
  <c r="Q23" i="2"/>
  <c r="Q24" i="2" s="1"/>
  <c r="Q25" i="2" s="1"/>
  <c r="Q27" i="2" s="1"/>
  <c r="Q32" i="2"/>
  <c r="T17" i="2"/>
  <c r="U15" i="2"/>
  <c r="F32" i="2"/>
  <c r="F27" i="2"/>
  <c r="F33" i="2"/>
  <c r="D33" i="2"/>
  <c r="D27" i="2"/>
  <c r="R33" i="2" l="1"/>
  <c r="R27" i="2"/>
  <c r="S33" i="2"/>
  <c r="S27" i="2"/>
  <c r="S32" i="2"/>
  <c r="Q33" i="2"/>
  <c r="U14" i="2"/>
  <c r="U31" i="2" s="1"/>
  <c r="U29" i="2"/>
  <c r="T18" i="2"/>
  <c r="U17" i="2"/>
  <c r="V15" i="2"/>
  <c r="U18" i="2" l="1"/>
  <c r="U23" i="2" s="1"/>
  <c r="U24" i="2" s="1"/>
  <c r="U25" i="2" s="1"/>
  <c r="T23" i="2"/>
  <c r="T24" i="2" s="1"/>
  <c r="T25" i="2" s="1"/>
  <c r="T27" i="2" s="1"/>
  <c r="T32" i="2"/>
  <c r="V14" i="2"/>
  <c r="V31" i="2" s="1"/>
  <c r="V29" i="2"/>
  <c r="W15" i="2"/>
  <c r="W17" i="2" s="1"/>
  <c r="V17" i="2"/>
  <c r="U33" i="2" l="1"/>
  <c r="U27" i="2"/>
  <c r="U32" i="2"/>
  <c r="W29" i="2"/>
  <c r="W14" i="2"/>
  <c r="W31" i="2" s="1"/>
  <c r="T33" i="2"/>
  <c r="V18" i="2"/>
  <c r="W18" i="2" l="1"/>
  <c r="W23" i="2" s="1"/>
  <c r="V23" i="2"/>
  <c r="V24" i="2" s="1"/>
  <c r="V25" i="2" s="1"/>
  <c r="V27" i="2" s="1"/>
  <c r="V32" i="2"/>
  <c r="W32" i="2" l="1"/>
  <c r="V33" i="2"/>
  <c r="W24" i="2"/>
  <c r="W25" i="2" s="1"/>
  <c r="W27" i="2" s="1"/>
  <c r="W33" i="2" l="1"/>
  <c r="X25" i="2"/>
  <c r="Y25" i="2" s="1"/>
  <c r="Z25" i="2" s="1"/>
  <c r="AA25" i="2" s="1"/>
  <c r="AB25" i="2" s="1"/>
  <c r="AC25" i="2" s="1"/>
  <c r="AD25" i="2" s="1"/>
  <c r="AE25" i="2" s="1"/>
  <c r="AF25" i="2" s="1"/>
  <c r="AG25" i="2" s="1"/>
  <c r="AH25" i="2" s="1"/>
  <c r="AI25" i="2" s="1"/>
  <c r="AJ25" i="2" s="1"/>
  <c r="AK25" i="2" s="1"/>
  <c r="AL25" i="2" s="1"/>
  <c r="AM25" i="2" s="1"/>
  <c r="AN25" i="2" s="1"/>
  <c r="AO25" i="2" s="1"/>
  <c r="AP25" i="2" s="1"/>
  <c r="AQ25" i="2" s="1"/>
  <c r="AR25" i="2" s="1"/>
  <c r="AS25" i="2" s="1"/>
  <c r="AT25" i="2" s="1"/>
  <c r="AU25" i="2" s="1"/>
  <c r="AV25" i="2" s="1"/>
  <c r="AW25" i="2" s="1"/>
  <c r="AX25" i="2" s="1"/>
  <c r="AY25" i="2" s="1"/>
  <c r="AZ25" i="2" s="1"/>
  <c r="BA25" i="2" s="1"/>
  <c r="BB25" i="2" s="1"/>
  <c r="BC25" i="2" s="1"/>
  <c r="BD25" i="2" s="1"/>
  <c r="BE25" i="2" s="1"/>
  <c r="BF25" i="2" s="1"/>
  <c r="BG25" i="2" s="1"/>
  <c r="BH25" i="2" s="1"/>
  <c r="BI25" i="2" s="1"/>
  <c r="BJ25" i="2" s="1"/>
  <c r="BK25" i="2" s="1"/>
  <c r="BL25" i="2" s="1"/>
  <c r="BM25" i="2" s="1"/>
  <c r="BN25" i="2" s="1"/>
  <c r="BO25" i="2" s="1"/>
  <c r="BP25" i="2" s="1"/>
  <c r="BQ25" i="2" s="1"/>
  <c r="BR25" i="2" s="1"/>
  <c r="BS25" i="2" s="1"/>
  <c r="Z22" i="2" l="1"/>
  <c r="Z23"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alexa</author>
  </authors>
  <commentList>
    <comment ref="Q37" authorId="0" shapeId="0" xr:uid="{A379D90C-2E2F-4C87-A8EA-6567D67DA6C7}">
      <text>
        <r>
          <rPr>
            <b/>
            <sz val="9"/>
            <color indexed="81"/>
            <rFont val="Tahoma"/>
            <family val="2"/>
          </rPr>
          <t>alexa:</t>
        </r>
        <r>
          <rPr>
            <sz val="9"/>
            <color indexed="81"/>
            <rFont val="Tahoma"/>
            <family val="2"/>
          </rPr>
          <t xml:space="preserve">
$115M</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<sst xmlns="http://schemas.openxmlformats.org/spreadsheetml/2006/main" count="96" uniqueCount="93">
  <si>
    <t>Ticket</t>
  </si>
  <si>
    <t>Price</t>
  </si>
  <si>
    <t>Shares</t>
  </si>
  <si>
    <t>MC</t>
  </si>
  <si>
    <t>Cash</t>
  </si>
  <si>
    <t>Debt</t>
  </si>
  <si>
    <t>EV</t>
  </si>
  <si>
    <t>Q1 2023</t>
  </si>
  <si>
    <t>Q2 2023</t>
  </si>
  <si>
    <t>Q3 2023</t>
  </si>
  <si>
    <t>Q4 2023</t>
  </si>
  <si>
    <t>Q1 2024</t>
  </si>
  <si>
    <t>Q2 2024</t>
  </si>
  <si>
    <t>Q3 2024</t>
  </si>
  <si>
    <t>Q4 2024</t>
  </si>
  <si>
    <t>Canada</t>
  </si>
  <si>
    <t xml:space="preserve">Australia </t>
  </si>
  <si>
    <t>Revenue</t>
  </si>
  <si>
    <t xml:space="preserve">COGS </t>
  </si>
  <si>
    <t>D&amp;A</t>
  </si>
  <si>
    <t>Gross Profit</t>
  </si>
  <si>
    <t>G&amp;A</t>
  </si>
  <si>
    <t>Loss on disposal of PPE</t>
  </si>
  <si>
    <t>Total Opex</t>
  </si>
  <si>
    <t>Operating Income</t>
  </si>
  <si>
    <t>Equities and JV earnings</t>
  </si>
  <si>
    <t>Interest expense</t>
  </si>
  <si>
    <t>Change in FV of contingent obligations</t>
  </si>
  <si>
    <t>Loss on derivative financial instruments</t>
  </si>
  <si>
    <t>Pretax Income</t>
  </si>
  <si>
    <t>Taxes</t>
  </si>
  <si>
    <t>Net Income</t>
  </si>
  <si>
    <t>Revenue y/y</t>
  </si>
  <si>
    <t>Gross Margin</t>
  </si>
  <si>
    <t>Operating Margin</t>
  </si>
  <si>
    <t>Net Margin</t>
  </si>
  <si>
    <t>CFFO</t>
  </si>
  <si>
    <t>CAPEX</t>
  </si>
  <si>
    <t>FCF</t>
  </si>
  <si>
    <t>Operations support services</t>
  </si>
  <si>
    <t>Equipment and component sales</t>
  </si>
  <si>
    <t>Construction services</t>
  </si>
  <si>
    <t>EPS</t>
  </si>
  <si>
    <t>US</t>
  </si>
  <si>
    <t>News</t>
  </si>
  <si>
    <t>Net Cash</t>
  </si>
  <si>
    <t>Joe Lambert</t>
  </si>
  <si>
    <t>President and CEO</t>
  </si>
  <si>
    <t>Jason Veenstra</t>
  </si>
  <si>
    <t>CFO</t>
  </si>
  <si>
    <t>Barry Palmer</t>
  </si>
  <si>
    <t>COO &amp; Regional President of Mackellar Group</t>
  </si>
  <si>
    <t>Jordan Slator</t>
  </si>
  <si>
    <t>CLO</t>
  </si>
  <si>
    <t>David Kallay</t>
  </si>
  <si>
    <t>CHRO</t>
  </si>
  <si>
    <t xml:space="preserve">Craig Nauta </t>
  </si>
  <si>
    <t>VP of Operations</t>
  </si>
  <si>
    <t>Name</t>
  </si>
  <si>
    <t>Position</t>
  </si>
  <si>
    <t>10/23 - Acquired 100% of MacKellar Group for $179,668M</t>
  </si>
  <si>
    <t>10/22 - Acquired 100% of ML Nothern Services Ltd for $8,002M</t>
  </si>
  <si>
    <t>Joined</t>
  </si>
  <si>
    <t>Ex-Roles</t>
  </si>
  <si>
    <t>COO, General Manager of Mining, VP Oil sands Operations</t>
  </si>
  <si>
    <t>10y+ at several mining and industrial public companies</t>
  </si>
  <si>
    <t>Heavy Equipment Operator, superintendent, etc</t>
  </si>
  <si>
    <t>General Counsel</t>
  </si>
  <si>
    <t>Laura Schumacher</t>
  </si>
  <si>
    <t>VP of Finance</t>
  </si>
  <si>
    <t>Martin Ferron</t>
  </si>
  <si>
    <t>Chairman of the Board</t>
  </si>
  <si>
    <t>CEO</t>
  </si>
  <si>
    <t xml:space="preserve">Info </t>
  </si>
  <si>
    <t>8% stake</t>
  </si>
  <si>
    <t>1% stake</t>
  </si>
  <si>
    <t>Founded</t>
  </si>
  <si>
    <t>Founder</t>
  </si>
  <si>
    <t>HQ</t>
  </si>
  <si>
    <t>IPO</t>
  </si>
  <si>
    <t>Industry</t>
  </si>
  <si>
    <t>Employees</t>
  </si>
  <si>
    <t>Ivan and Bob Gouin</t>
  </si>
  <si>
    <t>Mining and civil construction services</t>
  </si>
  <si>
    <t>Acheson, Alberta, Canada</t>
  </si>
  <si>
    <t>Fleet utilization</t>
  </si>
  <si>
    <t>Q3 Canada fleet utilization expected in the low 60%s</t>
  </si>
  <si>
    <t>Running to win a big infraestructure in Nothern California, decision expected in late Q4 2024</t>
  </si>
  <si>
    <t>Discount</t>
  </si>
  <si>
    <t>Maturity</t>
  </si>
  <si>
    <t>ROIC</t>
  </si>
  <si>
    <t>NPV</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</si>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</sst>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409]* #,##0.00_ ;_-[$$-409]* \-#,##0.00\ ;_-[$$-409]* &quot;-&quot;??_ ;_-@_ "/>
    <numFmt numFmtId="165" formatCode="0.0%"/>
  </numFmts>
  <fonts count="5" x14ac:knownFonts="1">
    <font>
      <sz val="11"/>
      <color theme="1"/>
      <name val="Aptos Narrow"/>
      <family val="2"/>
      <scheme val="minor"/>
    </font>
    <font>
      <sz val="10"/>
      <color theme="1"/>
      <name val="Arial"/>
      <family val="2"/>
    </font>
    <font>
      <b/>
      <sz val="10"/>
      <color theme="1"/>
      <name val="Arial"/>
      <family val="2"/>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xf numFmtId="3" fontId="1" fillId="0" borderId="0" xfId="0" applyNumberFormat="1" applyFont="1"/>
    <xf numFmtId="3" fontId="2" fillId="0" borderId="0" xfId="0" applyNumberFormat="1" applyFont="1"/>
    <xf numFmtId="9" fontId="1" fillId="0" borderId="0" xfId="0" applyNumberFormat="1" applyFont="1"/>
    <xf numFmtId="164" fontId="1" fillId="0" borderId="0" xfId="0" applyNumberFormat="1" applyFont="1"/>
    <xf numFmtId="9" fontId="2" fillId="0" borderId="0" xfId="0" applyNumberFormat="1" applyFont="1"/>
    <xf numFmtId="0" fontId="1" fillId="0" borderId="0" xfId="0" quotePrefix="1" applyFont="1"/>
    <xf numFmtId="0" fontId="1" fillId="0" borderId="0" xfId="0" applyFont="1" applyAlignment="1">
      <alignment horizontal="left"/>
    </xf>
    <xf numFmtId="164" fontId="1" fillId="0" borderId="0" xfId="0" applyNumberFormat="1" applyFont="1" applyAlignment="1">
      <alignment horizontal="left"/>
    </xf>
    <xf numFmtId="3" fontId="1" fillId="0" borderId="0" xfId="0" applyNumberFormat="1" applyFont="1" applyAlignment="1">
      <alignment horizontal="left"/>
    </xf>
    <xf numFmtId="165"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68580</xdr:colOff>
      <xdr:row>8</xdr:row>
      <xdr:rowOff>68580</xdr:rowOff>
    </xdr:from>
    <xdr:to>
      <xdr:col>11</xdr:col>
      <xdr:colOff>145350</xdr:colOff>
      <xdr:row>21</xdr:row>
      <xdr:rowOff>68769</xdr:rowOff>
    </xdr:to>
    <xdr:pic>
      <xdr:nvPicPr>
        <xdr:cNvPr id="2" name="Picture 1">
          <a:extLst>
            <a:ext uri="{FF2B5EF4-FFF2-40B4-BE49-F238E27FC236}">
              <a16:creationId xmlns:a16="http://schemas.microsoft.com/office/drawing/2014/main" id="{59D3B9AF-64A2-C8E5-952E-9C539AD0A14A}"/>
            </a:ext>
          </a:extLst>
        </xdr:cNvPr>
        <xdr:cNvPicPr>
          <a:picLocks noChangeAspect="1"/>
        </xdr:cNvPicPr>
      </xdr:nvPicPr>
      <xdr:blipFill>
        <a:blip xmlns:r="http://schemas.openxmlformats.org/officeDocument/2006/relationships" r:embed="rId1"/>
        <a:stretch>
          <a:fillRect/>
        </a:stretch>
      </xdr:blipFill>
      <xdr:spPr>
        <a:xfrm>
          <a:off x="68580" y="1409700"/>
          <a:ext cx="6576630" cy="2179509"/>
        </a:xfrm>
        <a:prstGeom prst="rect">
          <a:avLst/>
        </a:prstGeom>
      </xdr:spPr>
    </xdr:pic>
    <xdr:clientData/>
  </xdr:twoCellAnchor>
  <xdr:twoCellAnchor editAs="oneCell">
    <xdr:from>
      <xdr:col>0</xdr:col>
      <xdr:colOff>45720</xdr:colOff>
      <xdr:row>21</xdr:row>
      <xdr:rowOff>99060</xdr:rowOff>
    </xdr:from>
    <xdr:to>
      <xdr:col>11</xdr:col>
      <xdr:colOff>213938</xdr:colOff>
      <xdr:row>32</xdr:row>
      <xdr:rowOff>83978</xdr:rowOff>
    </xdr:to>
    <xdr:pic>
      <xdr:nvPicPr>
        <xdr:cNvPr id="3" name="Picture 2">
          <a:extLst>
            <a:ext uri="{FF2B5EF4-FFF2-40B4-BE49-F238E27FC236}">
              <a16:creationId xmlns:a16="http://schemas.microsoft.com/office/drawing/2014/main" id="{735C30AC-78E4-F89E-3492-28BBF1CB708A}"/>
            </a:ext>
          </a:extLst>
        </xdr:cNvPr>
        <xdr:cNvPicPr>
          <a:picLocks noChangeAspect="1"/>
        </xdr:cNvPicPr>
      </xdr:nvPicPr>
      <xdr:blipFill>
        <a:blip xmlns:r="http://schemas.openxmlformats.org/officeDocument/2006/relationships" r:embed="rId2"/>
        <a:stretch>
          <a:fillRect/>
        </a:stretch>
      </xdr:blipFill>
      <xdr:spPr>
        <a:xfrm>
          <a:off x="45720" y="3619500"/>
          <a:ext cx="6668078" cy="1828958"/>
        </a:xfrm>
        <a:prstGeom prst="rect">
          <a:avLst/>
        </a:prstGeom>
      </xdr:spPr>
    </xdr:pic>
    <xdr:clientData/>
  </xdr:twoCellAnchor>
  <xdr:twoCellAnchor editAs="oneCell">
    <xdr:from>
      <xdr:col>0</xdr:col>
      <xdr:colOff>0</xdr:colOff>
      <xdr:row>37</xdr:row>
      <xdr:rowOff>0</xdr:rowOff>
    </xdr:from>
    <xdr:to>
      <xdr:col>11</xdr:col>
      <xdr:colOff>495906</xdr:colOff>
      <xdr:row>60</xdr:row>
      <xdr:rowOff>84161</xdr:rowOff>
    </xdr:to>
    <xdr:pic>
      <xdr:nvPicPr>
        <xdr:cNvPr id="4" name="Picture 3">
          <a:extLst>
            <a:ext uri="{FF2B5EF4-FFF2-40B4-BE49-F238E27FC236}">
              <a16:creationId xmlns:a16="http://schemas.microsoft.com/office/drawing/2014/main" id="{0698DB31-7263-23FF-E645-FEAFD29D1D1F}"/>
            </a:ext>
          </a:extLst>
        </xdr:cNvPr>
        <xdr:cNvPicPr>
          <a:picLocks noChangeAspect="1"/>
        </xdr:cNvPicPr>
      </xdr:nvPicPr>
      <xdr:blipFill>
        <a:blip xmlns:r="http://schemas.openxmlformats.org/officeDocument/2006/relationships" r:embed="rId3"/>
        <a:stretch>
          <a:fillRect/>
        </a:stretch>
      </xdr:blipFill>
      <xdr:spPr>
        <a:xfrm>
          <a:off x="0" y="6202680"/>
          <a:ext cx="6995766" cy="3939881"/>
        </a:xfrm>
        <a:prstGeom prst="rect">
          <a:avLst/>
        </a:prstGeom>
      </xdr:spPr>
    </xdr:pic>
    <xdr:clientData/>
  </xdr:twoCellAnchor>
  <xdr:twoCellAnchor editAs="oneCell">
    <xdr:from>
      <xdr:col>0</xdr:col>
      <xdr:colOff>0</xdr:colOff>
      <xdr:row>62</xdr:row>
      <xdr:rowOff>0</xdr:rowOff>
    </xdr:from>
    <xdr:to>
      <xdr:col>10</xdr:col>
      <xdr:colOff>522952</xdr:colOff>
      <xdr:row>78</xdr:row>
      <xdr:rowOff>152400</xdr:rowOff>
    </xdr:to>
    <xdr:pic>
      <xdr:nvPicPr>
        <xdr:cNvPr id="5" name="Picture 4">
          <a:extLst>
            <a:ext uri="{FF2B5EF4-FFF2-40B4-BE49-F238E27FC236}">
              <a16:creationId xmlns:a16="http://schemas.microsoft.com/office/drawing/2014/main" id="{3A78C13F-B815-D094-8EAF-DAB30DFA1860}"/>
            </a:ext>
          </a:extLst>
        </xdr:cNvPr>
        <xdr:cNvPicPr>
          <a:picLocks noChangeAspect="1"/>
        </xdr:cNvPicPr>
      </xdr:nvPicPr>
      <xdr:blipFill>
        <a:blip xmlns:r="http://schemas.openxmlformats.org/officeDocument/2006/relationships" r:embed="rId4"/>
        <a:stretch>
          <a:fillRect/>
        </a:stretch>
      </xdr:blipFill>
      <xdr:spPr>
        <a:xfrm>
          <a:off x="0" y="10393680"/>
          <a:ext cx="6413212" cy="28346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601980</xdr:colOff>
      <xdr:row>0</xdr:row>
      <xdr:rowOff>22860</xdr:rowOff>
    </xdr:from>
    <xdr:to>
      <xdr:col>8</xdr:col>
      <xdr:colOff>15240</xdr:colOff>
      <xdr:row>46</xdr:row>
      <xdr:rowOff>137160</xdr:rowOff>
    </xdr:to>
    <xdr:cxnSp macro="">
      <xdr:nvCxnSpPr>
        <xdr:cNvPr id="3" name="Straight Connector 2">
          <a:extLst>
            <a:ext uri="{FF2B5EF4-FFF2-40B4-BE49-F238E27FC236}">
              <a16:creationId xmlns:a16="http://schemas.microsoft.com/office/drawing/2014/main" id="{6FCD5A30-1F32-617E-8934-518FD1D9C5E2}"/>
            </a:ext>
          </a:extLst>
        </xdr:cNvPr>
        <xdr:cNvCxnSpPr/>
      </xdr:nvCxnSpPr>
      <xdr:spPr>
        <a:xfrm>
          <a:off x="6530340" y="22860"/>
          <a:ext cx="22860" cy="78257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16</xdr:col>
      <xdr:colOff>0</xdr:colOff>
      <xdr:row>0</xdr:row>
      <xdr:rowOff>0</xdr:rowOff>
    </xdr:from>
    <xdr:to>
      <xdr:col>16</xdr:col>
      <xdr:colOff>22860</xdr:colOff>
      <xdr:row>46</xdr:row>
      <xdr:rowOff>114300</xdr:rowOff>
    </xdr:to>
    <xdr:cxnSp macro="">
      <xdr:nvCxnSpPr>
        <xdr:cNvPr id="4" name="Straight Connector 3">
          <a:extLst>
            <a:ext uri="{FF2B5EF4-FFF2-40B4-BE49-F238E27FC236}">
              <a16:creationId xmlns:a16="http://schemas.microsoft.com/office/drawing/2014/main" id="{FDDBB630-0D44-4808-8146-8950ACE40EB4}"/>
            </a:ext>
          </a:extLst>
        </xdr:cNvPr>
        <xdr:cNvCxnSpPr/>
      </xdr:nvCxnSpPr>
      <xdr:spPr>
        <a:xfrm>
          <a:off x="11414760" y="0"/>
          <a:ext cx="22860" cy="7825740"/>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https://www.bing.com/financeapi/forcetrigger?t=aazdz2&amp;q=XTSE%3aNOA&amp;form=skydnc</v>
    <v>Learn more on Bing</v>
  </rv>
  <rv s="1">
    <v>en-GB</v>
    <v>aazdz2</v>
    <v>268435456</v>
    <v>1</v>
    <v>Powered by Refinitiv</v>
    <v>0</v>
    <v>NORTH AMERICAN CONSTRUCTION GROUP LTD (XTSE:NOA)</v>
    <v>2</v>
    <v>3</v>
    <v>Finance</v>
    <v>4</v>
    <v>34.869999999999997</v>
    <v>22.68</v>
    <v>1.5946</v>
    <v>0.57999999999999996</v>
    <v>0</v>
    <v>2.0714E-2</v>
    <v>0</v>
    <v>CAD</v>
    <v>North American Construction Group Ltd. is a Canada-based company. The Company provides a range of mining and heavy civil construction services to customer in the resource development and industrial construction sectors within Canada, the United States, and Australia. Its segments are Heavy Equipment - Canada, Heavy Equipment - Australia, and Other. Heavy Equipment - Canada and Heavy Equipment - Australia includes all of aspects of the mining and heavy civil construction services provided within those geographic areas. Other includes its mine management contract work in the United States, its external maintenance and rebuild programs and its equity method investments. The Company provides a range of mining and heavy construction services to customers in the resource development, and industrial construction sectors.</v>
    <v>423</v>
    <v>Toronto Stock Exchange</v>
    <v>XTSE</v>
    <v>XTSE</v>
    <v>27287 100 Ave, ACHESON, AB, T7X 6H8 CA</v>
    <v>28.65</v>
    <v>Oil &amp; Gas Related Equipment and Services</v>
    <v>Stock</v>
    <v>45625.875</v>
    <v>0</v>
    <v>27.98</v>
    <v>758855500</v>
    <v>NORTH AMERICAN CONSTRUCTION GROUP LTD</v>
    <v>NORTH AMERICAN CONSTRUCTION GROUP LTD</v>
    <v>28.28</v>
    <v>14.717599999999999</v>
    <v>28</v>
    <v>28.58</v>
    <v>28.58</v>
    <v>27827280</v>
    <v>NOA</v>
    <v>NORTH AMERICAN CONSTRUCTION GROUP LTD (XTSE:NOA)</v>
    <v>55525</v>
    <v>53410</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GMT</v>
      <v>Delayed 20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_-[$$-en-CA]* #,##0.00_-;-[$$-en-CA]* #,##0.00_-;_-[$$-en-CA]* "-"??_-;_-@_-</rpv>
    </rSty>
    <rSty dxfid="5">
      <rpv i="0">#,##0.00</rpv>
    </rSty>
    <rSty>
      <rpv i="1">1</rpv>
    </rSty>
    <rSty dxfid="4">
      <rpv i="0">#,##0</rpv>
    </rSty>
    <rSty dxfid="3"/>
    <rSty dxfid="1">
      <rpv i="0">_-[$$-en-CA]* #,##0_-;-[$$-en-CA]* #,##0_-;_-[$$-en-CA]*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66BAA-3408-4370-A829-77E547A69D81}">
  <dimension ref="A2:L80"/>
  <sheetViews>
    <sheetView showGridLines="0" workbookViewId="0">
      <selection activeCell="N45" sqref="N45"/>
    </sheetView>
  </sheetViews>
  <sheetFormatPr defaultColWidth="8.88671875" defaultRowHeight="13.2" x14ac:dyDescent="0.25"/>
  <cols>
    <col min="1" max="1" width="2.6640625" style="1" customWidth="1"/>
    <col min="2" max="2" width="10.44140625" style="1" bestFit="1" customWidth="1"/>
    <col min="3" max="4" width="8.88671875" style="1"/>
    <col min="5" max="5" width="10.44140625" style="1" bestFit="1" customWidth="1"/>
    <col min="6" max="16384" width="8.88671875" style="1"/>
  </cols>
  <sheetData>
    <row r="2" spans="2:9" x14ac:dyDescent="0.25">
      <c r="B2" s="2" t="s">
        <v>76</v>
      </c>
      <c r="C2" s="9">
        <v>1953</v>
      </c>
      <c r="H2" s="2" t="s">
        <v>0</v>
      </c>
      <c r="I2" s="9" t="e" vm="1">
        <v>#VALUE!</v>
      </c>
    </row>
    <row r="3" spans="2:9" x14ac:dyDescent="0.25">
      <c r="B3" s="2" t="s">
        <v>77</v>
      </c>
      <c r="C3" s="9" t="s">
        <v>82</v>
      </c>
      <c r="H3" s="2" t="s">
        <v>1</v>
      </c>
      <c r="I3" s="10" cm="1">
        <f t="array" aca="1" ref="I3" ca="1">+_FV(I2,"Price")</f>
        <v>28.58</v>
      </c>
    </row>
    <row r="4" spans="2:9" x14ac:dyDescent="0.25">
      <c r="B4" s="2" t="s">
        <v>72</v>
      </c>
      <c r="C4" s="9" t="s">
        <v>46</v>
      </c>
      <c r="H4" s="2" t="s">
        <v>2</v>
      </c>
      <c r="I4" s="9">
        <v>26.730049000000001</v>
      </c>
    </row>
    <row r="5" spans="2:9" x14ac:dyDescent="0.25">
      <c r="B5" s="2" t="s">
        <v>78</v>
      </c>
      <c r="C5" s="9" t="s">
        <v>84</v>
      </c>
      <c r="H5" s="2" t="s">
        <v>3</v>
      </c>
      <c r="I5" s="11">
        <f ca="1">+I3*I4</f>
        <v>763.94480041999998</v>
      </c>
    </row>
    <row r="6" spans="2:9" x14ac:dyDescent="0.25">
      <c r="B6" s="2" t="s">
        <v>79</v>
      </c>
      <c r="C6" s="9">
        <v>2006</v>
      </c>
      <c r="H6" s="2" t="s">
        <v>4</v>
      </c>
      <c r="I6" s="11">
        <f>68.343+10.707+81.206</f>
        <v>160.25600000000003</v>
      </c>
    </row>
    <row r="7" spans="2:9" x14ac:dyDescent="0.25">
      <c r="B7" s="2" t="s">
        <v>80</v>
      </c>
      <c r="C7" s="9" t="s">
        <v>83</v>
      </c>
      <c r="H7" s="2" t="s">
        <v>5</v>
      </c>
      <c r="I7" s="11">
        <f>91.962+692.15</f>
        <v>784.11199999999997</v>
      </c>
    </row>
    <row r="8" spans="2:9" x14ac:dyDescent="0.25">
      <c r="B8" s="2" t="s">
        <v>81</v>
      </c>
      <c r="C8" s="9">
        <v>3500</v>
      </c>
      <c r="H8" s="2" t="s">
        <v>6</v>
      </c>
      <c r="I8" s="11">
        <f ca="1">+I5-I6+I7</f>
        <v>1387.8008004200001</v>
      </c>
    </row>
    <row r="34" spans="1:1" x14ac:dyDescent="0.25">
      <c r="A34" s="2" t="s">
        <v>44</v>
      </c>
    </row>
    <row r="35" spans="1:1" x14ac:dyDescent="0.25">
      <c r="A35" s="8" t="s">
        <v>60</v>
      </c>
    </row>
    <row r="36" spans="1:1" x14ac:dyDescent="0.25">
      <c r="A36" s="1" t="s">
        <v>61</v>
      </c>
    </row>
    <row r="37" spans="1:1" x14ac:dyDescent="0.25">
      <c r="A37" s="1" t="s">
        <v>87</v>
      </c>
    </row>
    <row r="62" spans="1:1" x14ac:dyDescent="0.25">
      <c r="A62" s="2" t="s">
        <v>85</v>
      </c>
    </row>
    <row r="67" spans="2:12" x14ac:dyDescent="0.25">
      <c r="L67" s="1" t="s">
        <v>86</v>
      </c>
    </row>
    <row r="80" spans="2:12" x14ac:dyDescent="0.25">
      <c r="B80" s="2"/>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AA94B-1444-4B67-93FC-76F13F8C5BE6}">
  <dimension ref="A2:BS39"/>
  <sheetViews>
    <sheetView tabSelected="1" zoomScale="85" zoomScaleNormal="85" workbookViewId="0">
      <pane xSplit="2" ySplit="2" topLeftCell="N3" activePane="bottomRight" state="frozen"/>
      <selection pane="topRight" activeCell="C1" sqref="C1"/>
      <selection pane="bottomLeft" activeCell="A3" sqref="A3"/>
      <selection pane="bottomRight" activeCell="Z23" sqref="Z23"/>
    </sheetView>
  </sheetViews>
  <sheetFormatPr defaultColWidth="8.88671875" defaultRowHeight="13.2" x14ac:dyDescent="0.25"/>
  <cols>
    <col min="1" max="1" width="8.88671875" style="1"/>
    <col min="2" max="2" width="33.109375" style="1" bestFit="1" customWidth="1"/>
    <col min="3" max="25" width="8.88671875" style="1"/>
    <col min="26" max="26" width="9.6640625" style="1" bestFit="1" customWidth="1"/>
    <col min="27" max="16384" width="8.88671875" style="1"/>
  </cols>
  <sheetData>
    <row r="2" spans="1:23" x14ac:dyDescent="0.25">
      <c r="C2" s="2" t="s">
        <v>7</v>
      </c>
      <c r="D2" s="2" t="s">
        <v>8</v>
      </c>
      <c r="E2" s="2" t="s">
        <v>9</v>
      </c>
      <c r="F2" s="2" t="s">
        <v>10</v>
      </c>
      <c r="G2" s="2" t="s">
        <v>11</v>
      </c>
      <c r="H2" s="2" t="s">
        <v>12</v>
      </c>
      <c r="I2" s="2" t="s">
        <v>13</v>
      </c>
      <c r="J2" s="2" t="s">
        <v>14</v>
      </c>
      <c r="L2" s="2">
        <v>2019</v>
      </c>
      <c r="M2" s="2">
        <f>+L2+1</f>
        <v>2020</v>
      </c>
      <c r="N2" s="2">
        <f t="shared" ref="N2:Q2" si="0">+M2+1</f>
        <v>2021</v>
      </c>
      <c r="O2" s="2">
        <f t="shared" si="0"/>
        <v>2022</v>
      </c>
      <c r="P2" s="2">
        <f t="shared" si="0"/>
        <v>2023</v>
      </c>
      <c r="Q2" s="2">
        <f t="shared" si="0"/>
        <v>2024</v>
      </c>
      <c r="R2" s="2">
        <f t="shared" ref="R2" si="1">+Q2+1</f>
        <v>2025</v>
      </c>
      <c r="S2" s="2">
        <f t="shared" ref="S2" si="2">+R2+1</f>
        <v>2026</v>
      </c>
      <c r="T2" s="2">
        <f t="shared" ref="T2" si="3">+S2+1</f>
        <v>2027</v>
      </c>
      <c r="U2" s="2">
        <f t="shared" ref="U2" si="4">+T2+1</f>
        <v>2028</v>
      </c>
      <c r="V2" s="2">
        <f t="shared" ref="V2" si="5">+U2+1</f>
        <v>2029</v>
      </c>
      <c r="W2" s="2">
        <f t="shared" ref="W2" si="6">+V2+1</f>
        <v>2030</v>
      </c>
    </row>
    <row r="3" spans="1:23" x14ac:dyDescent="0.25">
      <c r="B3" s="1" t="s">
        <v>15</v>
      </c>
      <c r="C3" s="3">
        <v>236.27</v>
      </c>
      <c r="D3" s="3">
        <v>184.06100000000001</v>
      </c>
      <c r="E3" s="3"/>
      <c r="F3" s="3"/>
      <c r="G3" s="3">
        <v>160.39599999999999</v>
      </c>
      <c r="H3" s="3">
        <v>126.283</v>
      </c>
      <c r="I3" s="3"/>
      <c r="J3" s="3"/>
      <c r="L3" s="3"/>
      <c r="M3" s="3"/>
      <c r="N3" s="3"/>
      <c r="O3" s="3">
        <v>733.32799999999997</v>
      </c>
      <c r="P3" s="3">
        <v>795.47199999999998</v>
      </c>
      <c r="Q3" s="3"/>
      <c r="R3" s="3"/>
      <c r="S3" s="3"/>
    </row>
    <row r="4" spans="1:23" x14ac:dyDescent="0.25">
      <c r="B4" s="1" t="s">
        <v>16</v>
      </c>
      <c r="C4" s="3">
        <v>5.4610000000000003</v>
      </c>
      <c r="D4" s="3">
        <v>8.7149999999999999</v>
      </c>
      <c r="E4" s="3"/>
      <c r="F4" s="3"/>
      <c r="G4" s="3">
        <v>133.893</v>
      </c>
      <c r="H4" s="3">
        <v>147.084</v>
      </c>
      <c r="I4" s="3"/>
      <c r="J4" s="3"/>
      <c r="L4" s="3"/>
      <c r="M4" s="3"/>
      <c r="N4" s="3"/>
      <c r="O4" s="3">
        <v>24.187000000000001</v>
      </c>
      <c r="P4" s="3">
        <v>151.78899999999999</v>
      </c>
      <c r="Q4" s="3"/>
      <c r="R4" s="3"/>
      <c r="S4" s="3"/>
    </row>
    <row r="5" spans="1:23" x14ac:dyDescent="0.25">
      <c r="B5" s="1" t="s">
        <v>43</v>
      </c>
      <c r="C5" s="3">
        <v>2.5979999999999999</v>
      </c>
      <c r="D5" s="3">
        <v>2.4119999999999999</v>
      </c>
      <c r="E5" s="3"/>
      <c r="F5" s="3"/>
      <c r="G5" s="3">
        <v>2.7370000000000001</v>
      </c>
      <c r="H5" s="3">
        <v>2.9470000000000001</v>
      </c>
      <c r="I5" s="3"/>
      <c r="J5" s="3"/>
      <c r="L5" s="3"/>
      <c r="M5" s="3"/>
      <c r="N5" s="3"/>
      <c r="O5" s="3">
        <v>12.023999999999999</v>
      </c>
      <c r="P5" s="3">
        <v>9.9589999999999996</v>
      </c>
      <c r="Q5" s="3"/>
      <c r="R5" s="3"/>
      <c r="S5" s="3"/>
    </row>
    <row r="6" spans="1:23" x14ac:dyDescent="0.25">
      <c r="C6" s="3"/>
      <c r="D6" s="3"/>
      <c r="E6" s="3"/>
      <c r="F6" s="3"/>
      <c r="G6" s="3"/>
      <c r="H6" s="3"/>
      <c r="I6" s="3"/>
      <c r="J6" s="3"/>
      <c r="L6" s="3"/>
      <c r="M6" s="3"/>
      <c r="N6" s="3"/>
      <c r="O6" s="3"/>
      <c r="P6" s="3"/>
      <c r="Q6" s="3"/>
      <c r="R6" s="3"/>
      <c r="S6" s="3"/>
    </row>
    <row r="7" spans="1:23" x14ac:dyDescent="0.25">
      <c r="B7" s="1" t="s">
        <v>39</v>
      </c>
      <c r="C7" s="3">
        <v>229.45699999999999</v>
      </c>
      <c r="D7" s="3">
        <v>175.50700000000001</v>
      </c>
      <c r="E7" s="3">
        <v>174.48599999999999</v>
      </c>
      <c r="F7" s="3"/>
      <c r="G7" s="3">
        <v>284.72399999999999</v>
      </c>
      <c r="H7" s="3">
        <v>262.62400000000002</v>
      </c>
      <c r="I7" s="3"/>
      <c r="J7" s="3"/>
      <c r="L7" s="3"/>
      <c r="M7" s="3"/>
      <c r="N7" s="3"/>
      <c r="O7" s="3">
        <v>688.73400000000004</v>
      </c>
      <c r="P7" s="3">
        <v>886.96299999999997</v>
      </c>
      <c r="Q7" s="3"/>
      <c r="R7" s="3"/>
      <c r="S7" s="3"/>
    </row>
    <row r="8" spans="1:23" x14ac:dyDescent="0.25">
      <c r="B8" s="1" t="s">
        <v>40</v>
      </c>
      <c r="C8" s="3">
        <v>11.083</v>
      </c>
      <c r="D8" s="3">
        <v>15.920999999999999</v>
      </c>
      <c r="E8" s="3">
        <v>20.257999999999999</v>
      </c>
      <c r="F8" s="3"/>
      <c r="G8" s="3">
        <v>11.022</v>
      </c>
      <c r="H8" s="3">
        <v>13.448</v>
      </c>
      <c r="I8" s="3"/>
      <c r="J8" s="3"/>
      <c r="L8" s="3"/>
      <c r="M8" s="3"/>
      <c r="N8" s="3"/>
      <c r="O8" s="3">
        <v>48.728000000000002</v>
      </c>
      <c r="P8" s="3">
        <v>57.822000000000003</v>
      </c>
      <c r="Q8" s="3"/>
      <c r="R8" s="3"/>
      <c r="S8" s="3"/>
    </row>
    <row r="9" spans="1:23" x14ac:dyDescent="0.25">
      <c r="B9" s="1" t="s">
        <v>41</v>
      </c>
      <c r="C9" s="3">
        <v>3.7890000000000001</v>
      </c>
      <c r="D9" s="3">
        <v>4.76</v>
      </c>
      <c r="E9" s="3"/>
      <c r="F9" s="3"/>
      <c r="G9" s="3">
        <v>1.28</v>
      </c>
      <c r="H9" s="3">
        <v>0.24199999999999999</v>
      </c>
      <c r="I9" s="3"/>
      <c r="J9" s="3"/>
      <c r="L9" s="3"/>
      <c r="M9" s="3"/>
      <c r="N9" s="3"/>
      <c r="O9" s="3">
        <v>32.076999999999998</v>
      </c>
      <c r="P9" s="3">
        <v>12.435</v>
      </c>
      <c r="Q9" s="3"/>
      <c r="R9" s="3"/>
      <c r="S9" s="3"/>
    </row>
    <row r="10" spans="1:23" x14ac:dyDescent="0.25">
      <c r="C10" s="3"/>
      <c r="D10" s="3"/>
      <c r="E10" s="3"/>
      <c r="F10" s="3"/>
      <c r="G10" s="3"/>
      <c r="H10" s="3"/>
      <c r="I10" s="3"/>
      <c r="J10" s="3"/>
      <c r="L10" s="3"/>
      <c r="M10" s="3"/>
      <c r="N10" s="3"/>
      <c r="O10" s="3"/>
      <c r="P10" s="3"/>
      <c r="Q10" s="3"/>
      <c r="R10" s="3"/>
      <c r="S10" s="3"/>
    </row>
    <row r="11" spans="1:23" s="2" customFormat="1" x14ac:dyDescent="0.25">
      <c r="A11" s="1"/>
      <c r="B11" s="2" t="s">
        <v>17</v>
      </c>
      <c r="C11" s="4">
        <v>244.32900000000001</v>
      </c>
      <c r="D11" s="4">
        <v>195.18799999999999</v>
      </c>
      <c r="E11" s="4">
        <v>194.744</v>
      </c>
      <c r="F11" s="4">
        <f>+P11-E11-D11-C11</f>
        <v>322.959</v>
      </c>
      <c r="G11" s="4">
        <v>297.02600000000001</v>
      </c>
      <c r="H11" s="4">
        <v>276.31400000000002</v>
      </c>
      <c r="I11" s="4"/>
      <c r="J11" s="4"/>
      <c r="L11" s="4">
        <v>715.11</v>
      </c>
      <c r="M11" s="4">
        <v>498.46800000000002</v>
      </c>
      <c r="N11" s="4">
        <v>654.14300000000003</v>
      </c>
      <c r="O11" s="4">
        <v>769.53899999999999</v>
      </c>
      <c r="P11" s="4">
        <v>957.22</v>
      </c>
      <c r="Q11" s="4">
        <f>+P11*1.5</f>
        <v>1435.83</v>
      </c>
      <c r="R11" s="4">
        <f>+Q11*1.05</f>
        <v>1507.6215</v>
      </c>
      <c r="S11" s="4">
        <f t="shared" ref="S11:W11" si="7">+R11*1.05</f>
        <v>1583.002575</v>
      </c>
      <c r="T11" s="4">
        <f t="shared" si="7"/>
        <v>1662.15270375</v>
      </c>
      <c r="U11" s="4">
        <f t="shared" si="7"/>
        <v>1745.2603389375001</v>
      </c>
      <c r="V11" s="4">
        <f t="shared" si="7"/>
        <v>1832.5233558843752</v>
      </c>
      <c r="W11" s="4">
        <f t="shared" si="7"/>
        <v>1924.1495236785941</v>
      </c>
    </row>
    <row r="12" spans="1:23" x14ac:dyDescent="0.25">
      <c r="B12" s="1" t="s">
        <v>18</v>
      </c>
      <c r="C12" s="3">
        <v>166.84399999999999</v>
      </c>
      <c r="D12" s="3">
        <v>149.24100000000001</v>
      </c>
      <c r="E12" s="3">
        <v>139.84</v>
      </c>
      <c r="F12" s="3">
        <f t="shared" ref="F12:F16" si="8">+P12-E12-D12-C12</f>
        <v>215.75899999999996</v>
      </c>
      <c r="G12" s="3">
        <v>199.79499999999999</v>
      </c>
      <c r="H12" s="3">
        <v>187.02199999999999</v>
      </c>
      <c r="I12" s="3"/>
      <c r="J12" s="3"/>
      <c r="L12" s="3"/>
      <c r="M12" s="3"/>
      <c r="N12" s="3"/>
      <c r="O12" s="3">
        <v>548.72299999999996</v>
      </c>
      <c r="P12" s="3">
        <v>671.68399999999997</v>
      </c>
      <c r="Q12" s="3"/>
      <c r="R12" s="3"/>
      <c r="S12" s="3"/>
    </row>
    <row r="13" spans="1:23" x14ac:dyDescent="0.25">
      <c r="B13" s="1" t="s">
        <v>19</v>
      </c>
      <c r="C13" s="3">
        <v>36.384999999999998</v>
      </c>
      <c r="D13" s="3">
        <v>24.352</v>
      </c>
      <c r="E13" s="3">
        <v>28.591999999999999</v>
      </c>
      <c r="F13" s="3">
        <f t="shared" si="8"/>
        <v>41.989999999999988</v>
      </c>
      <c r="G13" s="3">
        <v>43.941000000000003</v>
      </c>
      <c r="H13" s="3">
        <v>39.622999999999998</v>
      </c>
      <c r="I13" s="3"/>
      <c r="J13" s="3"/>
      <c r="L13" s="3"/>
      <c r="M13" s="3"/>
      <c r="N13" s="3"/>
      <c r="O13" s="3">
        <v>119.268</v>
      </c>
      <c r="P13" s="3">
        <v>131.31899999999999</v>
      </c>
      <c r="Q13" s="3"/>
      <c r="R13" s="3"/>
      <c r="S13" s="3"/>
    </row>
    <row r="14" spans="1:23" x14ac:dyDescent="0.25">
      <c r="B14" s="1" t="s">
        <v>20</v>
      </c>
      <c r="C14" s="3">
        <f t="shared" ref="C14:G14" si="9">+C11-C12-C13</f>
        <v>41.100000000000016</v>
      </c>
      <c r="D14" s="3">
        <f t="shared" si="9"/>
        <v>21.594999999999974</v>
      </c>
      <c r="E14" s="3">
        <f t="shared" si="9"/>
        <v>26.311999999999998</v>
      </c>
      <c r="F14" s="3">
        <f t="shared" si="9"/>
        <v>65.210000000000065</v>
      </c>
      <c r="G14" s="3">
        <f t="shared" si="9"/>
        <v>53.29000000000002</v>
      </c>
      <c r="H14" s="3">
        <f>+H11-H12-H13</f>
        <v>49.669000000000032</v>
      </c>
      <c r="I14" s="3"/>
      <c r="J14" s="3"/>
      <c r="L14" s="3">
        <f t="shared" ref="L14:O14" si="10">+L11-L12-L13</f>
        <v>715.11</v>
      </c>
      <c r="M14" s="3">
        <f t="shared" si="10"/>
        <v>498.46800000000002</v>
      </c>
      <c r="N14" s="3">
        <f t="shared" si="10"/>
        <v>654.14300000000003</v>
      </c>
      <c r="O14" s="3">
        <f t="shared" si="10"/>
        <v>101.54800000000003</v>
      </c>
      <c r="P14" s="3">
        <f>+P11-P12-P13</f>
        <v>154.21700000000007</v>
      </c>
      <c r="Q14" s="3">
        <f>+Q11*0.18</f>
        <v>258.44939999999997</v>
      </c>
      <c r="R14" s="3">
        <f>+R11*0.19</f>
        <v>286.44808499999999</v>
      </c>
      <c r="S14" s="3">
        <f>+S11*0.2</f>
        <v>316.60051500000003</v>
      </c>
      <c r="T14" s="3">
        <f t="shared" ref="T14:W14" si="11">+T11*0.2</f>
        <v>332.43054075000003</v>
      </c>
      <c r="U14" s="3">
        <f t="shared" si="11"/>
        <v>349.05206778750005</v>
      </c>
      <c r="V14" s="3">
        <f t="shared" si="11"/>
        <v>366.50467117687504</v>
      </c>
      <c r="W14" s="3">
        <f t="shared" si="11"/>
        <v>384.82990473571886</v>
      </c>
    </row>
    <row r="15" spans="1:23" x14ac:dyDescent="0.25">
      <c r="B15" s="1" t="s">
        <v>21</v>
      </c>
      <c r="C15" s="3">
        <v>14.179</v>
      </c>
      <c r="D15" s="3">
        <v>11.974</v>
      </c>
      <c r="E15" s="3">
        <v>12.484999999999999</v>
      </c>
      <c r="F15" s="3">
        <f t="shared" si="8"/>
        <v>18.206000000000003</v>
      </c>
      <c r="G15" s="3">
        <v>14.753</v>
      </c>
      <c r="H15" s="3">
        <v>10.932</v>
      </c>
      <c r="I15" s="3"/>
      <c r="J15" s="3"/>
      <c r="L15" s="3"/>
      <c r="M15" s="3"/>
      <c r="N15" s="3"/>
      <c r="O15" s="3">
        <v>29.855</v>
      </c>
      <c r="P15" s="3">
        <v>56.844000000000001</v>
      </c>
      <c r="Q15" s="3">
        <f>+P15*1</f>
        <v>56.844000000000001</v>
      </c>
      <c r="R15" s="3">
        <f t="shared" ref="R15:W15" si="12">+Q15*1.03</f>
        <v>58.549320000000002</v>
      </c>
      <c r="S15" s="3">
        <f t="shared" si="12"/>
        <v>60.3057996</v>
      </c>
      <c r="T15" s="3">
        <f t="shared" si="12"/>
        <v>62.114973588000005</v>
      </c>
      <c r="U15" s="3">
        <f t="shared" si="12"/>
        <v>63.978422795640007</v>
      </c>
      <c r="V15" s="3">
        <f t="shared" si="12"/>
        <v>65.897775479509207</v>
      </c>
      <c r="W15" s="3">
        <f t="shared" si="12"/>
        <v>67.874708743894487</v>
      </c>
    </row>
    <row r="16" spans="1:23" x14ac:dyDescent="0.25">
      <c r="B16" s="1" t="s">
        <v>22</v>
      </c>
      <c r="C16" s="3">
        <v>1.2130000000000001</v>
      </c>
      <c r="D16" s="3">
        <v>-0.71299999999999997</v>
      </c>
      <c r="E16" s="3">
        <v>-0.311</v>
      </c>
      <c r="F16" s="3">
        <f t="shared" si="8"/>
        <v>1.4699999999999998</v>
      </c>
      <c r="G16" s="3">
        <v>0.26100000000000001</v>
      </c>
      <c r="H16" s="3">
        <v>3.2000000000000001E-2</v>
      </c>
      <c r="I16" s="3"/>
      <c r="J16" s="3"/>
      <c r="L16" s="3"/>
      <c r="M16" s="3"/>
      <c r="N16" s="3"/>
      <c r="O16" s="3">
        <v>0.53600000000000003</v>
      </c>
      <c r="P16" s="3">
        <v>1.659</v>
      </c>
      <c r="Q16" s="3"/>
      <c r="R16" s="3"/>
      <c r="S16" s="3"/>
    </row>
    <row r="17" spans="1:71" x14ac:dyDescent="0.25">
      <c r="B17" s="1" t="s">
        <v>23</v>
      </c>
      <c r="C17" s="3">
        <f t="shared" ref="C17:G17" si="13">+C15+C16</f>
        <v>15.391999999999999</v>
      </c>
      <c r="D17" s="3">
        <f t="shared" si="13"/>
        <v>11.261000000000001</v>
      </c>
      <c r="E17" s="3">
        <f t="shared" si="13"/>
        <v>12.173999999999999</v>
      </c>
      <c r="F17" s="3">
        <f t="shared" si="13"/>
        <v>19.676000000000002</v>
      </c>
      <c r="G17" s="3">
        <f t="shared" si="13"/>
        <v>15.013999999999999</v>
      </c>
      <c r="H17" s="3">
        <f>+H15+H16</f>
        <v>10.964</v>
      </c>
      <c r="I17" s="3"/>
      <c r="J17" s="3"/>
      <c r="L17" s="3">
        <f t="shared" ref="L17:O17" si="14">+L15+L16</f>
        <v>0</v>
      </c>
      <c r="M17" s="3">
        <f t="shared" si="14"/>
        <v>0</v>
      </c>
      <c r="N17" s="3">
        <f t="shared" si="14"/>
        <v>0</v>
      </c>
      <c r="O17" s="3">
        <f t="shared" si="14"/>
        <v>30.391000000000002</v>
      </c>
      <c r="P17" s="3">
        <f>+P15+P16</f>
        <v>58.503</v>
      </c>
      <c r="Q17" s="3">
        <f t="shared" ref="Q17:W17" si="15">+Q15+Q16</f>
        <v>56.844000000000001</v>
      </c>
      <c r="R17" s="3">
        <f t="shared" si="15"/>
        <v>58.549320000000002</v>
      </c>
      <c r="S17" s="3">
        <f t="shared" si="15"/>
        <v>60.3057996</v>
      </c>
      <c r="T17" s="3">
        <f t="shared" si="15"/>
        <v>62.114973588000005</v>
      </c>
      <c r="U17" s="3">
        <f t="shared" si="15"/>
        <v>63.978422795640007</v>
      </c>
      <c r="V17" s="3">
        <f t="shared" si="15"/>
        <v>65.897775479509207</v>
      </c>
      <c r="W17" s="3">
        <f t="shared" si="15"/>
        <v>67.874708743894487</v>
      </c>
    </row>
    <row r="18" spans="1:71" s="2" customFormat="1" x14ac:dyDescent="0.25">
      <c r="A18" s="1"/>
      <c r="B18" s="2" t="s">
        <v>24</v>
      </c>
      <c r="C18" s="4">
        <f t="shared" ref="C18:G18" si="16">+C14-C17</f>
        <v>25.708000000000016</v>
      </c>
      <c r="D18" s="4">
        <f t="shared" si="16"/>
        <v>10.333999999999973</v>
      </c>
      <c r="E18" s="4">
        <f t="shared" si="16"/>
        <v>14.137999999999998</v>
      </c>
      <c r="F18" s="4">
        <f t="shared" si="16"/>
        <v>45.534000000000063</v>
      </c>
      <c r="G18" s="4">
        <f t="shared" si="16"/>
        <v>38.276000000000025</v>
      </c>
      <c r="H18" s="4">
        <f>+H14-H17</f>
        <v>38.705000000000034</v>
      </c>
      <c r="I18" s="4"/>
      <c r="J18" s="4"/>
      <c r="L18" s="4">
        <f t="shared" ref="L18:O18" si="17">+L14-L17</f>
        <v>715.11</v>
      </c>
      <c r="M18" s="4">
        <f t="shared" si="17"/>
        <v>498.46800000000002</v>
      </c>
      <c r="N18" s="4">
        <f t="shared" si="17"/>
        <v>654.14300000000003</v>
      </c>
      <c r="O18" s="4">
        <f t="shared" si="17"/>
        <v>71.157000000000025</v>
      </c>
      <c r="P18" s="4">
        <f>+P14-P17</f>
        <v>95.71400000000007</v>
      </c>
      <c r="Q18" s="4">
        <f t="shared" ref="Q18:W18" si="18">+Q14-Q17</f>
        <v>201.60539999999997</v>
      </c>
      <c r="R18" s="4">
        <f t="shared" si="18"/>
        <v>227.898765</v>
      </c>
      <c r="S18" s="4">
        <f t="shared" si="18"/>
        <v>256.29471540000003</v>
      </c>
      <c r="T18" s="4">
        <f t="shared" si="18"/>
        <v>270.31556716200004</v>
      </c>
      <c r="U18" s="4">
        <f t="shared" si="18"/>
        <v>285.07364499186002</v>
      </c>
      <c r="V18" s="4">
        <f t="shared" si="18"/>
        <v>300.60689569736581</v>
      </c>
      <c r="W18" s="4">
        <f t="shared" si="18"/>
        <v>316.95519599182438</v>
      </c>
    </row>
    <row r="19" spans="1:71" x14ac:dyDescent="0.25">
      <c r="B19" s="1" t="s">
        <v>25</v>
      </c>
      <c r="C19" s="3">
        <v>-9.3420000000000005</v>
      </c>
      <c r="D19" s="3">
        <v>-9.3439999999999994</v>
      </c>
      <c r="E19" s="3">
        <v>-4.4829999999999997</v>
      </c>
      <c r="F19" s="3">
        <f t="shared" ref="F19:F22" si="19">+P19-E19-D19-C19</f>
        <v>-2.6460000000000008</v>
      </c>
      <c r="G19" s="3">
        <v>1.512</v>
      </c>
      <c r="H19" s="3">
        <v>-6.6289999999999996</v>
      </c>
      <c r="I19" s="3"/>
      <c r="J19" s="3"/>
      <c r="L19" s="3"/>
      <c r="M19" s="3"/>
      <c r="N19" s="3"/>
      <c r="O19" s="3">
        <v>-37.052999999999997</v>
      </c>
      <c r="P19" s="3">
        <v>-25.815000000000001</v>
      </c>
      <c r="Q19" s="3"/>
      <c r="R19" s="3"/>
      <c r="S19" s="3"/>
      <c r="Y19" s="1" t="s">
        <v>88</v>
      </c>
      <c r="Z19" s="12">
        <v>0.1</v>
      </c>
    </row>
    <row r="20" spans="1:71" x14ac:dyDescent="0.25">
      <c r="B20" s="1" t="s">
        <v>26</v>
      </c>
      <c r="C20" s="3">
        <v>7.3109999999999999</v>
      </c>
      <c r="D20" s="3">
        <v>7.5110000000000001</v>
      </c>
      <c r="E20" s="3">
        <v>8.1189999999999998</v>
      </c>
      <c r="F20" s="3">
        <f t="shared" si="19"/>
        <v>14.007000000000001</v>
      </c>
      <c r="G20" s="3">
        <v>15.597</v>
      </c>
      <c r="H20" s="3">
        <v>14.339</v>
      </c>
      <c r="I20" s="3"/>
      <c r="J20" s="3"/>
      <c r="L20" s="3"/>
      <c r="M20" s="3"/>
      <c r="N20" s="3"/>
      <c r="O20" s="3">
        <v>24.542999999999999</v>
      </c>
      <c r="P20" s="3">
        <v>36.948</v>
      </c>
      <c r="Q20" s="3">
        <f>+P20*0.98</f>
        <v>36.209040000000002</v>
      </c>
      <c r="R20" s="3">
        <f>+Q20*0.97</f>
        <v>35.122768800000003</v>
      </c>
      <c r="S20" s="3">
        <f t="shared" ref="S20:W20" si="20">+R20*0.97</f>
        <v>34.069085736000005</v>
      </c>
      <c r="T20" s="3">
        <f t="shared" si="20"/>
        <v>33.047013163920006</v>
      </c>
      <c r="U20" s="3">
        <f t="shared" si="20"/>
        <v>32.055602769002405</v>
      </c>
      <c r="V20" s="3">
        <f t="shared" si="20"/>
        <v>31.093934685932332</v>
      </c>
      <c r="W20" s="3">
        <f t="shared" si="20"/>
        <v>30.161116645354362</v>
      </c>
      <c r="Y20" s="1" t="s">
        <v>89</v>
      </c>
      <c r="Z20" s="5">
        <v>0</v>
      </c>
    </row>
    <row r="21" spans="1:71" x14ac:dyDescent="0.25">
      <c r="B21" s="1" t="s">
        <v>27</v>
      </c>
      <c r="C21" s="3"/>
      <c r="D21" s="3"/>
      <c r="E21" s="3"/>
      <c r="F21" s="3">
        <f t="shared" si="19"/>
        <v>4.681</v>
      </c>
      <c r="G21" s="3">
        <v>5.3929999999999998</v>
      </c>
      <c r="H21" s="3">
        <v>11.563000000000001</v>
      </c>
      <c r="I21" s="3"/>
      <c r="J21" s="3"/>
      <c r="L21" s="3"/>
      <c r="M21" s="3"/>
      <c r="N21" s="3"/>
      <c r="O21" s="3"/>
      <c r="P21" s="3">
        <v>4.681</v>
      </c>
      <c r="Q21" s="3"/>
      <c r="R21" s="3"/>
      <c r="S21" s="3"/>
      <c r="Y21" s="1" t="s">
        <v>90</v>
      </c>
    </row>
    <row r="22" spans="1:71" x14ac:dyDescent="0.25">
      <c r="B22" s="1" t="s">
        <v>28</v>
      </c>
      <c r="C22" s="3">
        <v>-2.5089999999999999</v>
      </c>
      <c r="D22" s="3">
        <v>-1.8520000000000001</v>
      </c>
      <c r="E22" s="3">
        <v>-2.6179999999999999</v>
      </c>
      <c r="F22" s="3">
        <f t="shared" si="19"/>
        <v>0.91600000000000015</v>
      </c>
      <c r="G22" s="3"/>
      <c r="H22" s="3">
        <v>0.27300000000000002</v>
      </c>
      <c r="I22" s="3"/>
      <c r="J22" s="3"/>
      <c r="L22" s="3"/>
      <c r="M22" s="3"/>
      <c r="N22" s="3"/>
      <c r="O22" s="3">
        <v>-0.77800000000000002</v>
      </c>
      <c r="P22" s="3">
        <v>-6.0629999999999997</v>
      </c>
      <c r="Q22" s="3"/>
      <c r="R22" s="3"/>
      <c r="S22" s="3"/>
      <c r="Y22" s="1" t="s">
        <v>91</v>
      </c>
      <c r="Z22" s="3">
        <f>+NPV(Z19,Q25:BS25)+main!I6-main!I7</f>
        <v>1391.9427265774316</v>
      </c>
    </row>
    <row r="23" spans="1:71" x14ac:dyDescent="0.25">
      <c r="B23" s="1" t="s">
        <v>29</v>
      </c>
      <c r="C23" s="3">
        <f t="shared" ref="C23:G23" si="21">+C18-C19-C20-C21-C22</f>
        <v>30.248000000000019</v>
      </c>
      <c r="D23" s="3">
        <f t="shared" si="21"/>
        <v>14.018999999999973</v>
      </c>
      <c r="E23" s="3">
        <f t="shared" si="21"/>
        <v>13.12</v>
      </c>
      <c r="F23" s="3">
        <f t="shared" si="21"/>
        <v>28.576000000000057</v>
      </c>
      <c r="G23" s="3">
        <f t="shared" si="21"/>
        <v>15.774000000000022</v>
      </c>
      <c r="H23" s="3">
        <f>+H18-H19-H20-H21-H22</f>
        <v>19.159000000000031</v>
      </c>
      <c r="I23" s="3"/>
      <c r="J23" s="3"/>
      <c r="L23" s="3">
        <f t="shared" ref="L23:W23" si="22">+L18-L19-L20-L21-L22</f>
        <v>715.11</v>
      </c>
      <c r="M23" s="3">
        <f t="shared" si="22"/>
        <v>498.46800000000002</v>
      </c>
      <c r="N23" s="3">
        <f t="shared" si="22"/>
        <v>654.14300000000003</v>
      </c>
      <c r="O23" s="3">
        <f t="shared" si="22"/>
        <v>84.445000000000036</v>
      </c>
      <c r="P23" s="3">
        <f t="shared" si="22"/>
        <v>85.963000000000079</v>
      </c>
      <c r="Q23" s="3">
        <f t="shared" si="22"/>
        <v>165.39635999999996</v>
      </c>
      <c r="R23" s="3">
        <f t="shared" si="22"/>
        <v>192.77599620000001</v>
      </c>
      <c r="S23" s="3">
        <f t="shared" si="22"/>
        <v>222.22562966400002</v>
      </c>
      <c r="T23" s="3">
        <f t="shared" si="22"/>
        <v>237.26855399808002</v>
      </c>
      <c r="U23" s="3">
        <f t="shared" si="22"/>
        <v>253.01804222285762</v>
      </c>
      <c r="V23" s="3">
        <f t="shared" si="22"/>
        <v>269.5129610114335</v>
      </c>
      <c r="W23" s="3">
        <f t="shared" si="22"/>
        <v>286.79407934647003</v>
      </c>
      <c r="Y23" s="1" t="s">
        <v>1</v>
      </c>
      <c r="Z23" s="6">
        <f>+Z22/main!I4</f>
        <v>52.074080619060275</v>
      </c>
      <c r="AA23" s="5"/>
    </row>
    <row r="24" spans="1:71" x14ac:dyDescent="0.25">
      <c r="B24" s="1" t="s">
        <v>30</v>
      </c>
      <c r="C24" s="3">
        <f>1.136+7.266</f>
        <v>8.4019999999999992</v>
      </c>
      <c r="D24" s="3">
        <f>0.567+1.19</f>
        <v>1.7569999999999999</v>
      </c>
      <c r="E24" s="3">
        <f>1.495+0.238</f>
        <v>1.7330000000000001</v>
      </c>
      <c r="F24" s="3">
        <f t="shared" ref="F24" si="23">+P24-E24-D24-C24</f>
        <v>10.929999999999998</v>
      </c>
      <c r="G24" s="3">
        <f>4.234+0.171</f>
        <v>4.4050000000000002</v>
      </c>
      <c r="H24" s="3">
        <f>-1.469+6.621</f>
        <v>5.1520000000000001</v>
      </c>
      <c r="I24" s="3"/>
      <c r="J24" s="3"/>
      <c r="L24" s="3"/>
      <c r="M24" s="3"/>
      <c r="N24" s="3"/>
      <c r="O24" s="3">
        <f>1.627+15.446</f>
        <v>17.073</v>
      </c>
      <c r="P24" s="3">
        <f>6.841+15.981</f>
        <v>22.821999999999999</v>
      </c>
      <c r="Q24" s="3">
        <f>+Q23*0.21</f>
        <v>34.733235599999993</v>
      </c>
      <c r="R24" s="3">
        <f t="shared" ref="R24:W24" si="24">+R23*0.21</f>
        <v>40.482959202000004</v>
      </c>
      <c r="S24" s="3">
        <f t="shared" si="24"/>
        <v>46.667382229440001</v>
      </c>
      <c r="T24" s="3">
        <f t="shared" si="24"/>
        <v>49.826396339596805</v>
      </c>
      <c r="U24" s="3">
        <f t="shared" si="24"/>
        <v>53.133788866800096</v>
      </c>
      <c r="V24" s="3">
        <f t="shared" si="24"/>
        <v>56.597721812401034</v>
      </c>
      <c r="W24" s="3">
        <f t="shared" si="24"/>
        <v>60.226756662758703</v>
      </c>
      <c r="Z24" s="5"/>
    </row>
    <row r="25" spans="1:71" s="2" customFormat="1" x14ac:dyDescent="0.25">
      <c r="A25" s="1"/>
      <c r="B25" s="2" t="s">
        <v>31</v>
      </c>
      <c r="C25" s="4">
        <f t="shared" ref="C25:G25" si="25">+C23-C24</f>
        <v>21.846000000000018</v>
      </c>
      <c r="D25" s="4">
        <f t="shared" si="25"/>
        <v>12.261999999999974</v>
      </c>
      <c r="E25" s="4">
        <f t="shared" si="25"/>
        <v>11.386999999999999</v>
      </c>
      <c r="F25" s="4">
        <f t="shared" si="25"/>
        <v>17.646000000000058</v>
      </c>
      <c r="G25" s="4">
        <f t="shared" si="25"/>
        <v>11.369000000000021</v>
      </c>
      <c r="H25" s="4">
        <f>+H23-H24</f>
        <v>14.00700000000003</v>
      </c>
      <c r="I25" s="4"/>
      <c r="J25" s="4"/>
      <c r="L25" s="4">
        <f t="shared" ref="L25:O25" si="26">+L23-L24</f>
        <v>715.11</v>
      </c>
      <c r="M25" s="4">
        <f t="shared" si="26"/>
        <v>498.46800000000002</v>
      </c>
      <c r="N25" s="4">
        <f t="shared" si="26"/>
        <v>654.14300000000003</v>
      </c>
      <c r="O25" s="4">
        <f t="shared" si="26"/>
        <v>67.372000000000043</v>
      </c>
      <c r="P25" s="4">
        <f>+P23-P24</f>
        <v>63.141000000000076</v>
      </c>
      <c r="Q25" s="4">
        <f t="shared" ref="Q25:W25" si="27">+Q23-Q24</f>
        <v>130.66312439999996</v>
      </c>
      <c r="R25" s="4">
        <f t="shared" si="27"/>
        <v>152.29303699799999</v>
      </c>
      <c r="S25" s="4">
        <f t="shared" si="27"/>
        <v>175.55824743456003</v>
      </c>
      <c r="T25" s="4">
        <f t="shared" si="27"/>
        <v>187.44215765848321</v>
      </c>
      <c r="U25" s="4">
        <f t="shared" si="27"/>
        <v>199.88425335605751</v>
      </c>
      <c r="V25" s="4">
        <f t="shared" si="27"/>
        <v>212.91523919903247</v>
      </c>
      <c r="W25" s="4">
        <f t="shared" si="27"/>
        <v>226.56732268371132</v>
      </c>
      <c r="X25" s="4">
        <f>+W25*(1+$Z$20)</f>
        <v>226.56732268371132</v>
      </c>
      <c r="Y25" s="4">
        <f t="shared" ref="Y25:BS25" si="28">+X25*(1+$Z$20)</f>
        <v>226.56732268371132</v>
      </c>
      <c r="Z25" s="4">
        <f t="shared" si="28"/>
        <v>226.56732268371132</v>
      </c>
      <c r="AA25" s="4">
        <f t="shared" si="28"/>
        <v>226.56732268371132</v>
      </c>
      <c r="AB25" s="4">
        <f t="shared" si="28"/>
        <v>226.56732268371132</v>
      </c>
      <c r="AC25" s="4">
        <f t="shared" si="28"/>
        <v>226.56732268371132</v>
      </c>
      <c r="AD25" s="4">
        <f t="shared" si="28"/>
        <v>226.56732268371132</v>
      </c>
      <c r="AE25" s="4">
        <f t="shared" si="28"/>
        <v>226.56732268371132</v>
      </c>
      <c r="AF25" s="4">
        <f t="shared" si="28"/>
        <v>226.56732268371132</v>
      </c>
      <c r="AG25" s="4">
        <f t="shared" si="28"/>
        <v>226.56732268371132</v>
      </c>
      <c r="AH25" s="4">
        <f t="shared" si="28"/>
        <v>226.56732268371132</v>
      </c>
      <c r="AI25" s="4">
        <f t="shared" si="28"/>
        <v>226.56732268371132</v>
      </c>
      <c r="AJ25" s="4">
        <f t="shared" si="28"/>
        <v>226.56732268371132</v>
      </c>
      <c r="AK25" s="4">
        <f t="shared" si="28"/>
        <v>226.56732268371132</v>
      </c>
      <c r="AL25" s="4">
        <f t="shared" si="28"/>
        <v>226.56732268371132</v>
      </c>
      <c r="AM25" s="4">
        <f t="shared" si="28"/>
        <v>226.56732268371132</v>
      </c>
      <c r="AN25" s="4">
        <f t="shared" si="28"/>
        <v>226.56732268371132</v>
      </c>
      <c r="AO25" s="4">
        <f t="shared" si="28"/>
        <v>226.56732268371132</v>
      </c>
      <c r="AP25" s="4">
        <f t="shared" si="28"/>
        <v>226.56732268371132</v>
      </c>
      <c r="AQ25" s="4">
        <f t="shared" si="28"/>
        <v>226.56732268371132</v>
      </c>
      <c r="AR25" s="4">
        <f t="shared" si="28"/>
        <v>226.56732268371132</v>
      </c>
      <c r="AS25" s="4">
        <f t="shared" si="28"/>
        <v>226.56732268371132</v>
      </c>
      <c r="AT25" s="4">
        <f t="shared" si="28"/>
        <v>226.56732268371132</v>
      </c>
      <c r="AU25" s="4">
        <f t="shared" si="28"/>
        <v>226.56732268371132</v>
      </c>
      <c r="AV25" s="4">
        <f t="shared" si="28"/>
        <v>226.56732268371132</v>
      </c>
      <c r="AW25" s="4">
        <f t="shared" si="28"/>
        <v>226.56732268371132</v>
      </c>
      <c r="AX25" s="4">
        <f t="shared" si="28"/>
        <v>226.56732268371132</v>
      </c>
      <c r="AY25" s="4">
        <f t="shared" si="28"/>
        <v>226.56732268371132</v>
      </c>
      <c r="AZ25" s="4">
        <f t="shared" si="28"/>
        <v>226.56732268371132</v>
      </c>
      <c r="BA25" s="4">
        <f t="shared" si="28"/>
        <v>226.56732268371132</v>
      </c>
      <c r="BB25" s="4">
        <f t="shared" si="28"/>
        <v>226.56732268371132</v>
      </c>
      <c r="BC25" s="4">
        <f t="shared" si="28"/>
        <v>226.56732268371132</v>
      </c>
      <c r="BD25" s="4">
        <f t="shared" si="28"/>
        <v>226.56732268371132</v>
      </c>
      <c r="BE25" s="4">
        <f t="shared" si="28"/>
        <v>226.56732268371132</v>
      </c>
      <c r="BF25" s="4">
        <f t="shared" si="28"/>
        <v>226.56732268371132</v>
      </c>
      <c r="BG25" s="4">
        <f t="shared" si="28"/>
        <v>226.56732268371132</v>
      </c>
      <c r="BH25" s="4">
        <f t="shared" si="28"/>
        <v>226.56732268371132</v>
      </c>
      <c r="BI25" s="4">
        <f t="shared" si="28"/>
        <v>226.56732268371132</v>
      </c>
      <c r="BJ25" s="4">
        <f t="shared" si="28"/>
        <v>226.56732268371132</v>
      </c>
      <c r="BK25" s="4">
        <f t="shared" si="28"/>
        <v>226.56732268371132</v>
      </c>
      <c r="BL25" s="4">
        <f t="shared" si="28"/>
        <v>226.56732268371132</v>
      </c>
      <c r="BM25" s="4">
        <f t="shared" si="28"/>
        <v>226.56732268371132</v>
      </c>
      <c r="BN25" s="4">
        <f t="shared" si="28"/>
        <v>226.56732268371132</v>
      </c>
      <c r="BO25" s="4">
        <f t="shared" si="28"/>
        <v>226.56732268371132</v>
      </c>
      <c r="BP25" s="4">
        <f t="shared" si="28"/>
        <v>226.56732268371132</v>
      </c>
      <c r="BQ25" s="4">
        <f t="shared" si="28"/>
        <v>226.56732268371132</v>
      </c>
      <c r="BR25" s="4">
        <f t="shared" si="28"/>
        <v>226.56732268371132</v>
      </c>
      <c r="BS25" s="4">
        <f t="shared" si="28"/>
        <v>226.56732268371132</v>
      </c>
    </row>
    <row r="26" spans="1:71" x14ac:dyDescent="0.25">
      <c r="B26" s="1" t="s">
        <v>2</v>
      </c>
      <c r="C26" s="1">
        <v>32.942717000000002</v>
      </c>
      <c r="D26" s="1">
        <v>33.007609000000002</v>
      </c>
      <c r="E26" s="1">
        <v>33.007609000000002</v>
      </c>
      <c r="F26" s="1">
        <v>33.026739999999997</v>
      </c>
      <c r="G26" s="1">
        <v>33.026739999999997</v>
      </c>
      <c r="H26" s="1">
        <v>33.026739999999997</v>
      </c>
      <c r="O26" s="1">
        <v>34.00685</v>
      </c>
      <c r="P26" s="1">
        <v>33.026739999999997</v>
      </c>
      <c r="Q26" s="1">
        <v>33.026739999999997</v>
      </c>
      <c r="R26" s="1">
        <v>33.026739999999997</v>
      </c>
      <c r="S26" s="1">
        <v>33.026739999999997</v>
      </c>
      <c r="T26" s="1">
        <v>33.026739999999997</v>
      </c>
      <c r="U26" s="1">
        <v>33.026739999999997</v>
      </c>
      <c r="V26" s="1">
        <v>33.026739999999997</v>
      </c>
      <c r="W26" s="1">
        <v>33.026739999999997</v>
      </c>
    </row>
    <row r="27" spans="1:71" x14ac:dyDescent="0.25">
      <c r="B27" s="1" t="s">
        <v>42</v>
      </c>
      <c r="C27" s="6">
        <f t="shared" ref="C27" si="29">+C25/C26</f>
        <v>0.66315112988403524</v>
      </c>
      <c r="D27" s="6">
        <f>+D25/D26</f>
        <v>0.37149010096429502</v>
      </c>
      <c r="E27" s="6">
        <f t="shared" ref="E27" si="30">+E25/E26</f>
        <v>0.34498106179093424</v>
      </c>
      <c r="F27" s="6">
        <f t="shared" ref="F27" si="31">+F25/F26</f>
        <v>0.5342943324106485</v>
      </c>
      <c r="G27" s="6">
        <f t="shared" ref="G27" si="32">+G25/G26</f>
        <v>0.34423621586629566</v>
      </c>
      <c r="H27" s="6">
        <f>+H25/H26</f>
        <v>0.42411088711753059</v>
      </c>
      <c r="I27" s="6"/>
      <c r="J27" s="6"/>
      <c r="O27" s="6">
        <f t="shared" ref="O27" si="33">+O25/O26</f>
        <v>1.9811302722833795</v>
      </c>
      <c r="P27" s="6">
        <f>+P25/P26</f>
        <v>1.9118144872912095</v>
      </c>
      <c r="Q27" s="6">
        <f t="shared" ref="Q27:W27" si="34">+Q25/Q26</f>
        <v>3.9562828302157578</v>
      </c>
      <c r="R27" s="6">
        <f t="shared" si="34"/>
        <v>4.6112040424819405</v>
      </c>
      <c r="S27" s="6">
        <f t="shared" si="34"/>
        <v>5.3156396130698953</v>
      </c>
      <c r="T27" s="6">
        <f t="shared" si="34"/>
        <v>5.6754665358580114</v>
      </c>
      <c r="U27" s="6">
        <f t="shared" si="34"/>
        <v>6.0521944750241028</v>
      </c>
      <c r="V27" s="6">
        <f t="shared" si="34"/>
        <v>6.4467531218349885</v>
      </c>
      <c r="W27" s="6">
        <f t="shared" si="34"/>
        <v>6.8601176708240459</v>
      </c>
    </row>
    <row r="29" spans="1:71" x14ac:dyDescent="0.25">
      <c r="B29" s="2" t="s">
        <v>32</v>
      </c>
      <c r="C29" s="2"/>
      <c r="D29" s="2"/>
      <c r="E29" s="2"/>
      <c r="F29" s="2"/>
      <c r="G29" s="7">
        <f t="shared" ref="G29" si="35">+G11/C11-1</f>
        <v>0.21568049637988129</v>
      </c>
      <c r="H29" s="7">
        <f>+H11/D11-1</f>
        <v>0.41563005922495244</v>
      </c>
      <c r="I29" s="2"/>
      <c r="J29" s="2"/>
      <c r="K29" s="2"/>
      <c r="L29" s="2"/>
      <c r="M29" s="7">
        <f t="shared" ref="M29:O29" si="36">+M11/L11-1</f>
        <v>-0.3029491966270923</v>
      </c>
      <c r="N29" s="7">
        <f t="shared" si="36"/>
        <v>0.31230690836723718</v>
      </c>
      <c r="O29" s="7">
        <f t="shared" si="36"/>
        <v>0.17640791080849283</v>
      </c>
      <c r="P29" s="7">
        <f>+P11/O11-1</f>
        <v>0.24388757424899854</v>
      </c>
      <c r="Q29" s="7">
        <f t="shared" ref="Q29:W29" si="37">+Q11/P11-1</f>
        <v>0.49999999999999978</v>
      </c>
      <c r="R29" s="7">
        <f t="shared" si="37"/>
        <v>5.0000000000000044E-2</v>
      </c>
      <c r="S29" s="7">
        <f t="shared" si="37"/>
        <v>5.0000000000000044E-2</v>
      </c>
      <c r="T29" s="7">
        <f t="shared" si="37"/>
        <v>5.0000000000000044E-2</v>
      </c>
      <c r="U29" s="7">
        <f t="shared" si="37"/>
        <v>5.0000000000000044E-2</v>
      </c>
      <c r="V29" s="7">
        <f t="shared" si="37"/>
        <v>5.0000000000000044E-2</v>
      </c>
      <c r="W29" s="7">
        <f t="shared" si="37"/>
        <v>5.0000000000000044E-2</v>
      </c>
    </row>
    <row r="31" spans="1:71" x14ac:dyDescent="0.25">
      <c r="B31" s="1" t="s">
        <v>33</v>
      </c>
      <c r="C31" s="5">
        <f>+C14/C11</f>
        <v>0.16821580737448283</v>
      </c>
      <c r="D31" s="5">
        <f>+D14/D11</f>
        <v>0.1106369244010901</v>
      </c>
      <c r="E31" s="5">
        <f t="shared" ref="E31:F31" si="38">+E14/E11</f>
        <v>0.1351107094441934</v>
      </c>
      <c r="F31" s="5">
        <f t="shared" si="38"/>
        <v>0.20191417486430185</v>
      </c>
      <c r="G31" s="5">
        <f t="shared" ref="G31" si="39">+G14/G11</f>
        <v>0.17941190333506163</v>
      </c>
      <c r="H31" s="5">
        <f>+H14/H11</f>
        <v>0.1797556403222422</v>
      </c>
      <c r="O31" s="5">
        <f t="shared" ref="O31:P31" si="40">+O14/O11</f>
        <v>0.13195952381880585</v>
      </c>
      <c r="P31" s="5">
        <f t="shared" si="40"/>
        <v>0.16110925388103056</v>
      </c>
      <c r="Q31" s="5">
        <f t="shared" ref="Q31:W31" si="41">+Q14/Q11</f>
        <v>0.18</v>
      </c>
      <c r="R31" s="5">
        <f t="shared" si="41"/>
        <v>0.19</v>
      </c>
      <c r="S31" s="5">
        <f t="shared" si="41"/>
        <v>0.2</v>
      </c>
      <c r="T31" s="5">
        <f t="shared" si="41"/>
        <v>0.2</v>
      </c>
      <c r="U31" s="5">
        <f t="shared" si="41"/>
        <v>0.2</v>
      </c>
      <c r="V31" s="5">
        <f t="shared" si="41"/>
        <v>0.2</v>
      </c>
      <c r="W31" s="5">
        <f t="shared" si="41"/>
        <v>0.2</v>
      </c>
    </row>
    <row r="32" spans="1:71" x14ac:dyDescent="0.25">
      <c r="B32" s="1" t="s">
        <v>34</v>
      </c>
      <c r="C32" s="5">
        <f>+C18/C11</f>
        <v>0.1052187828706376</v>
      </c>
      <c r="D32" s="5">
        <f>+D18/D11</f>
        <v>5.2943828514047858E-2</v>
      </c>
      <c r="E32" s="5">
        <f t="shared" ref="E32:F32" si="42">+E18/E11</f>
        <v>7.2597872078215497E-2</v>
      </c>
      <c r="F32" s="5">
        <f t="shared" si="42"/>
        <v>0.14099003279054018</v>
      </c>
      <c r="G32" s="5">
        <f t="shared" ref="G32" si="43">+G18/G11</f>
        <v>0.12886413983961009</v>
      </c>
      <c r="H32" s="5">
        <f>+H18/H11</f>
        <v>0.14007614525503606</v>
      </c>
      <c r="O32" s="5">
        <f t="shared" ref="O32:P32" si="44">+O18/O11</f>
        <v>9.2467048453684642E-2</v>
      </c>
      <c r="P32" s="5">
        <f t="shared" si="44"/>
        <v>9.9991642464637251E-2</v>
      </c>
      <c r="Q32" s="5">
        <f t="shared" ref="Q32:W32" si="45">+Q18/Q11</f>
        <v>0.14041035498631452</v>
      </c>
      <c r="R32" s="5">
        <f t="shared" si="45"/>
        <v>0.1511644434627657</v>
      </c>
      <c r="S32" s="5">
        <f t="shared" si="45"/>
        <v>0.16190416834918922</v>
      </c>
      <c r="T32" s="5">
        <f t="shared" si="45"/>
        <v>0.16262980323777609</v>
      </c>
      <c r="U32" s="5">
        <f t="shared" si="45"/>
        <v>0.16334161650943749</v>
      </c>
      <c r="V32" s="5">
        <f t="shared" si="45"/>
        <v>0.16403987143306722</v>
      </c>
      <c r="W32" s="5">
        <f t="shared" si="45"/>
        <v>0.1647248262629136</v>
      </c>
    </row>
    <row r="33" spans="2:23" x14ac:dyDescent="0.25">
      <c r="B33" s="1" t="s">
        <v>35</v>
      </c>
      <c r="C33" s="5">
        <f>+C25/C11</f>
        <v>8.9412226956276236E-2</v>
      </c>
      <c r="D33" s="5">
        <f>+D25/D11</f>
        <v>6.2821484927351956E-2</v>
      </c>
      <c r="E33" s="5">
        <f t="shared" ref="E33:F33" si="46">+E25/E11</f>
        <v>5.847163455613523E-2</v>
      </c>
      <c r="F33" s="5">
        <f t="shared" si="46"/>
        <v>5.4638514486359126E-2</v>
      </c>
      <c r="G33" s="5">
        <f t="shared" ref="G33" si="47">+G25/G11</f>
        <v>3.8276110508844413E-2</v>
      </c>
      <c r="H33" s="5">
        <f>+H25/H11</f>
        <v>5.0692328293173813E-2</v>
      </c>
      <c r="O33" s="5">
        <f t="shared" ref="O33:W33" si="48">+O25/O11</f>
        <v>8.7548519308313213E-2</v>
      </c>
      <c r="P33" s="5">
        <f t="shared" si="48"/>
        <v>6.5962892542989149E-2</v>
      </c>
      <c r="Q33" s="12">
        <f t="shared" si="48"/>
        <v>9.1001806899145415E-2</v>
      </c>
      <c r="R33" s="12">
        <f t="shared" si="48"/>
        <v>0.10101543192240227</v>
      </c>
      <c r="S33" s="12">
        <f t="shared" si="48"/>
        <v>0.1109020605570146</v>
      </c>
      <c r="T33" s="12">
        <f t="shared" si="48"/>
        <v>0.11277072030481496</v>
      </c>
      <c r="U33" s="12">
        <f t="shared" si="48"/>
        <v>0.1145297632087058</v>
      </c>
      <c r="V33" s="12">
        <f t="shared" si="48"/>
        <v>0.11618691708094474</v>
      </c>
      <c r="W33" s="12">
        <f t="shared" si="48"/>
        <v>0.11774933283280362</v>
      </c>
    </row>
    <row r="35" spans="2:23" x14ac:dyDescent="0.25">
      <c r="B35" s="1" t="s">
        <v>36</v>
      </c>
      <c r="C35" s="3">
        <v>31.824000000000002</v>
      </c>
      <c r="D35" s="3">
        <v>40.185000000000002</v>
      </c>
      <c r="E35" s="3">
        <v>37.512</v>
      </c>
      <c r="F35" s="3">
        <v>160</v>
      </c>
      <c r="G35" s="3">
        <v>11.866</v>
      </c>
      <c r="H35" s="3">
        <v>59.012999999999998</v>
      </c>
      <c r="L35" s="3"/>
      <c r="M35" s="3"/>
      <c r="N35" s="3"/>
      <c r="O35" s="3">
        <v>169.20099999999999</v>
      </c>
      <c r="P35" s="3">
        <v>270.39100000000002</v>
      </c>
      <c r="Q35" s="3"/>
    </row>
    <row r="36" spans="2:23" x14ac:dyDescent="0.25">
      <c r="B36" s="1" t="s">
        <v>37</v>
      </c>
      <c r="C36" s="3">
        <v>36.496000000000002</v>
      </c>
      <c r="D36" s="3">
        <v>38.418999999999997</v>
      </c>
      <c r="E36" s="3">
        <v>39.295000000000002</v>
      </c>
      <c r="F36" s="3"/>
      <c r="G36" s="3">
        <v>66.653000000000006</v>
      </c>
      <c r="H36" s="3">
        <v>75.307000000000002</v>
      </c>
      <c r="L36" s="3"/>
      <c r="M36" s="3"/>
      <c r="N36" s="3"/>
      <c r="O36" s="3">
        <v>111.499</v>
      </c>
      <c r="P36" s="3">
        <v>202.809</v>
      </c>
      <c r="Q36" s="3"/>
    </row>
    <row r="37" spans="2:23" x14ac:dyDescent="0.25">
      <c r="B37" s="2" t="s">
        <v>38</v>
      </c>
      <c r="C37" s="4">
        <f>+C35-C36</f>
        <v>-4.6720000000000006</v>
      </c>
      <c r="D37" s="4">
        <f>+D35-D36</f>
        <v>1.7660000000000053</v>
      </c>
      <c r="E37" s="4">
        <f t="shared" ref="E37" si="49">+E35-E36</f>
        <v>-1.7830000000000013</v>
      </c>
      <c r="F37" s="4">
        <f t="shared" ref="F37" si="50">+F35-F36</f>
        <v>160</v>
      </c>
      <c r="G37" s="4">
        <f t="shared" ref="G37" si="51">+G35-G36</f>
        <v>-54.787000000000006</v>
      </c>
      <c r="H37" s="4">
        <f>+H35-H36</f>
        <v>-16.294000000000004</v>
      </c>
      <c r="L37" s="4">
        <f t="shared" ref="L37" si="52">+L35-L36</f>
        <v>0</v>
      </c>
      <c r="M37" s="4">
        <f t="shared" ref="M37" si="53">+M35-M36</f>
        <v>0</v>
      </c>
      <c r="N37" s="4">
        <f t="shared" ref="N37" si="54">+N35-N36</f>
        <v>0</v>
      </c>
      <c r="O37" s="4">
        <f t="shared" ref="O37" si="55">+O35-O36</f>
        <v>57.701999999999998</v>
      </c>
      <c r="P37" s="4">
        <f>+P35-P36</f>
        <v>67.582000000000022</v>
      </c>
      <c r="Q37" s="4"/>
    </row>
    <row r="39" spans="2:23" x14ac:dyDescent="0.25">
      <c r="B39" s="1" t="s">
        <v>45</v>
      </c>
      <c r="C39" s="3"/>
      <c r="D39" s="3">
        <f>88.614+1.34+81.435-81.306-611.313</f>
        <v>-521.23</v>
      </c>
      <c r="E39" s="3"/>
      <c r="F39" s="3"/>
      <c r="G39" s="3"/>
      <c r="H39" s="3">
        <f>68.343+10.707+81.206-91.962-692.15</f>
        <v>-623.85599999999999</v>
      </c>
      <c r="I39" s="3"/>
      <c r="J39" s="3"/>
    </row>
  </sheetData>
  <pageMargins left="0.7" right="0.7" top="0.75" bottom="0.75" header="0.3" footer="0.3"/>
  <pageSetup paperSize="9" orientation="portrait"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0FAB9-D249-4B27-A0E9-39049F36FB6C}">
  <dimension ref="B2:F10"/>
  <sheetViews>
    <sheetView workbookViewId="0">
      <selection activeCell="C14" sqref="C14"/>
    </sheetView>
  </sheetViews>
  <sheetFormatPr defaultColWidth="8.88671875" defaultRowHeight="13.2" x14ac:dyDescent="0.25"/>
  <cols>
    <col min="1" max="1" width="3.88671875" style="1" customWidth="1"/>
    <col min="2" max="2" width="13.33203125" style="1" bestFit="1" customWidth="1"/>
    <col min="3" max="3" width="37.88671875" style="1" bestFit="1" customWidth="1"/>
    <col min="4" max="4" width="8.88671875" style="1"/>
    <col min="5" max="5" width="50.109375" style="1" bestFit="1" customWidth="1"/>
    <col min="6" max="16384" width="8.88671875" style="1"/>
  </cols>
  <sheetData>
    <row r="2" spans="2:6" x14ac:dyDescent="0.25">
      <c r="B2" s="2" t="s">
        <v>58</v>
      </c>
      <c r="C2" s="2" t="s">
        <v>59</v>
      </c>
      <c r="D2" s="1" t="s">
        <v>62</v>
      </c>
      <c r="E2" s="1" t="s">
        <v>63</v>
      </c>
      <c r="F2" s="1" t="s">
        <v>73</v>
      </c>
    </row>
    <row r="3" spans="2:6" x14ac:dyDescent="0.25">
      <c r="B3" s="1" t="s">
        <v>70</v>
      </c>
      <c r="C3" s="1" t="s">
        <v>71</v>
      </c>
      <c r="D3" s="1">
        <v>2012</v>
      </c>
      <c r="E3" s="1" t="s">
        <v>72</v>
      </c>
      <c r="F3" s="1" t="s">
        <v>74</v>
      </c>
    </row>
    <row r="4" spans="2:6" x14ac:dyDescent="0.25">
      <c r="B4" s="1" t="s">
        <v>92</v>
      </c>
      <c r="C4" s="1" t="s">
        <v>47</v>
      </c>
      <c r="D4" s="1">
        <v>2008</v>
      </c>
      <c r="E4" s="1" t="s">
        <v>64</v>
      </c>
      <c r="F4" s="1" t="s">
        <v>75</v>
      </c>
    </row>
    <row r="5" spans="2:6" x14ac:dyDescent="0.25">
      <c r="B5" s="1" t="s">
        <v>48</v>
      </c>
      <c r="C5" s="1" t="s">
        <v>49</v>
      </c>
      <c r="D5" s="1">
        <v>2018</v>
      </c>
      <c r="E5" s="1" t="s">
        <v>65</v>
      </c>
    </row>
    <row r="6" spans="2:6" x14ac:dyDescent="0.25">
      <c r="B6" s="1" t="s">
        <v>50</v>
      </c>
      <c r="C6" s="1" t="s">
        <v>51</v>
      </c>
      <c r="D6" s="1">
        <v>1982</v>
      </c>
      <c r="E6" s="1" t="s">
        <v>66</v>
      </c>
    </row>
    <row r="7" spans="2:6" x14ac:dyDescent="0.25">
      <c r="B7" s="1" t="s">
        <v>52</v>
      </c>
      <c r="C7" s="1" t="s">
        <v>53</v>
      </c>
      <c r="D7" s="1">
        <v>2010</v>
      </c>
      <c r="E7" s="1" t="s">
        <v>67</v>
      </c>
    </row>
    <row r="8" spans="2:6" x14ac:dyDescent="0.25">
      <c r="B8" s="1" t="s">
        <v>54</v>
      </c>
      <c r="C8" s="1" t="s">
        <v>55</v>
      </c>
      <c r="D8" s="1">
        <v>2008</v>
      </c>
    </row>
    <row r="9" spans="2:6" x14ac:dyDescent="0.25">
      <c r="B9" s="1" t="s">
        <v>56</v>
      </c>
      <c r="C9" s="1" t="s">
        <v>57</v>
      </c>
    </row>
    <row r="10" spans="2:6" x14ac:dyDescent="0.25">
      <c r="B10" s="1" t="s">
        <v>68</v>
      </c>
      <c r="C10" s="1" t="s">
        <v>69</v>
      </c>
      <c r="D10" s="1">
        <v>2008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model</vt:lpstr>
      <vt:lpstr>management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Alexandre Duarte Morais</dc:creator>
  <cp:lastModifiedBy>Alexandre Duarte Morais</cp:lastModifiedBy>
  <dcterms:created xsi:type="dcterms:W3CDTF">2024-10-21T16:15:10Z</dcterms:created>
  <dcterms:modified xsi:type="dcterms:W3CDTF">2024-11-29T23:54:35Z</dcterms:modified>
</cp:coreProperties>
</file>