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566" documentId="8_{85744044-E063-4D88-8D5D-DCC1266028AC}" xr6:coauthVersionLast="47" xr6:coauthVersionMax="47" xr10:uidLastSave="{2E8F2427-0784-4C3F-ABC1-3F168DD2674D}"/>
  <bookViews>
    <workbookView xWindow="-108" yWindow="-108" windowWidth="23256" windowHeight="12456" activeTab="1" xr2:uid="{9029735D-3329-4F38-BC9B-A5EB12F663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" i="2" l="1"/>
  <c r="Z16" i="2"/>
  <c r="Y16" i="2"/>
  <c r="U6" i="2"/>
  <c r="U8" i="2" s="1"/>
  <c r="AC6" i="2"/>
  <c r="T21" i="2"/>
  <c r="Z33" i="2"/>
  <c r="Y33" i="2"/>
  <c r="X33" i="2"/>
  <c r="W33" i="2"/>
  <c r="V33" i="2"/>
  <c r="U33" i="2"/>
  <c r="T33" i="2"/>
  <c r="U32" i="2"/>
  <c r="T32" i="2"/>
  <c r="U9" i="2"/>
  <c r="T9" i="2"/>
  <c r="T8" i="2"/>
  <c r="U7" i="2"/>
  <c r="V7" i="2" s="1"/>
  <c r="W7" i="2" s="1"/>
  <c r="X7" i="2" s="1"/>
  <c r="Y7" i="2" s="1"/>
  <c r="Z7" i="2" s="1"/>
  <c r="T7" i="2"/>
  <c r="T6" i="2"/>
  <c r="K33" i="2"/>
  <c r="K32" i="2"/>
  <c r="K31" i="2"/>
  <c r="K30" i="2"/>
  <c r="K29" i="2"/>
  <c r="S36" i="2"/>
  <c r="R36" i="2"/>
  <c r="S35" i="2"/>
  <c r="R35" i="2"/>
  <c r="R34" i="2"/>
  <c r="S34" i="2"/>
  <c r="S33" i="2"/>
  <c r="R33" i="2"/>
  <c r="R32" i="2"/>
  <c r="S32" i="2"/>
  <c r="S31" i="2"/>
  <c r="R31" i="2"/>
  <c r="S30" i="2"/>
  <c r="R30" i="2"/>
  <c r="R29" i="2"/>
  <c r="S29" i="2"/>
  <c r="L36" i="2"/>
  <c r="K36" i="2"/>
  <c r="J36" i="2"/>
  <c r="I36" i="2"/>
  <c r="H36" i="2"/>
  <c r="G36" i="2"/>
  <c r="L35" i="2"/>
  <c r="K35" i="2"/>
  <c r="J35" i="2"/>
  <c r="I35" i="2"/>
  <c r="H35" i="2"/>
  <c r="G35" i="2"/>
  <c r="K34" i="2"/>
  <c r="J34" i="2"/>
  <c r="I34" i="2"/>
  <c r="H34" i="2"/>
  <c r="G34" i="2"/>
  <c r="L34" i="2"/>
  <c r="L78" i="2"/>
  <c r="L33" i="2"/>
  <c r="L32" i="2"/>
  <c r="L31" i="2"/>
  <c r="L30" i="2"/>
  <c r="L29" i="2"/>
  <c r="D45" i="2"/>
  <c r="E45" i="2" s="1"/>
  <c r="D44" i="2"/>
  <c r="E44" i="2" s="1"/>
  <c r="D43" i="2"/>
  <c r="E43" i="2" s="1"/>
  <c r="R46" i="2"/>
  <c r="Q46" i="2"/>
  <c r="S46" i="2"/>
  <c r="F46" i="2"/>
  <c r="C46" i="2"/>
  <c r="N46" i="2"/>
  <c r="M46" i="2"/>
  <c r="K46" i="2"/>
  <c r="J46" i="2"/>
  <c r="G46" i="2"/>
  <c r="H74" i="2"/>
  <c r="L74" i="2"/>
  <c r="H50" i="2"/>
  <c r="H64" i="2" s="1"/>
  <c r="L50" i="2"/>
  <c r="L64" i="2" s="1"/>
  <c r="H45" i="2"/>
  <c r="I45" i="2" s="1"/>
  <c r="H44" i="2"/>
  <c r="I44" i="2" s="1"/>
  <c r="H43" i="2"/>
  <c r="I43" i="2" s="1"/>
  <c r="L45" i="2"/>
  <c r="L44" i="2"/>
  <c r="L43" i="2"/>
  <c r="B5" i="1"/>
  <c r="Z46" i="2"/>
  <c r="Y46" i="2"/>
  <c r="X46" i="2"/>
  <c r="W46" i="2"/>
  <c r="V46" i="2"/>
  <c r="U46" i="2"/>
  <c r="T46" i="2"/>
  <c r="S19" i="2"/>
  <c r="S14" i="2"/>
  <c r="S11" i="2"/>
  <c r="R19" i="2"/>
  <c r="R14" i="2"/>
  <c r="R11" i="2"/>
  <c r="Q19" i="2"/>
  <c r="Q14" i="2"/>
  <c r="Q11" i="2"/>
  <c r="S1" i="2"/>
  <c r="T1" i="2" s="1"/>
  <c r="U1" i="2" s="1"/>
  <c r="V1" i="2" s="1"/>
  <c r="W1" i="2" s="1"/>
  <c r="X1" i="2" s="1"/>
  <c r="Y1" i="2" s="1"/>
  <c r="Z1" i="2" s="1"/>
  <c r="N19" i="2"/>
  <c r="M19" i="2"/>
  <c r="L19" i="2"/>
  <c r="J19" i="2"/>
  <c r="I19" i="2"/>
  <c r="H19" i="2"/>
  <c r="G19" i="2"/>
  <c r="F19" i="2"/>
  <c r="E19" i="2"/>
  <c r="D19" i="2"/>
  <c r="C19" i="2"/>
  <c r="K19" i="2"/>
  <c r="N14" i="2"/>
  <c r="M14" i="2"/>
  <c r="L14" i="2"/>
  <c r="J14" i="2"/>
  <c r="I14" i="2"/>
  <c r="H14" i="2"/>
  <c r="G14" i="2"/>
  <c r="F14" i="2"/>
  <c r="E14" i="2"/>
  <c r="D14" i="2"/>
  <c r="C14" i="2"/>
  <c r="K14" i="2"/>
  <c r="J11" i="2"/>
  <c r="I11" i="2"/>
  <c r="H11" i="2"/>
  <c r="G11" i="2"/>
  <c r="F11" i="2"/>
  <c r="E11" i="2"/>
  <c r="D11" i="2"/>
  <c r="C11" i="2"/>
  <c r="N11" i="2"/>
  <c r="M11" i="2"/>
  <c r="L11" i="2"/>
  <c r="K11" i="2"/>
  <c r="K37" i="2" s="1"/>
  <c r="B4" i="1"/>
  <c r="B7" i="1" s="1"/>
  <c r="AC10" i="2" s="1"/>
  <c r="V6" i="2" l="1"/>
  <c r="W6" i="2" s="1"/>
  <c r="X6" i="2" s="1"/>
  <c r="Y6" i="2" s="1"/>
  <c r="Z6" i="2" s="1"/>
  <c r="T11" i="2"/>
  <c r="T18" i="2" s="1"/>
  <c r="T36" i="2" s="1"/>
  <c r="U11" i="2"/>
  <c r="V9" i="2"/>
  <c r="I37" i="2"/>
  <c r="S48" i="2"/>
  <c r="L46" i="2"/>
  <c r="R48" i="2"/>
  <c r="L75" i="2"/>
  <c r="H75" i="2"/>
  <c r="G37" i="2"/>
  <c r="H37" i="2"/>
  <c r="J37" i="2"/>
  <c r="I46" i="2"/>
  <c r="G15" i="2"/>
  <c r="G20" i="2" s="1"/>
  <c r="G23" i="2" s="1"/>
  <c r="G25" i="2" s="1"/>
  <c r="G27" i="2" s="1"/>
  <c r="E46" i="2"/>
  <c r="M15" i="2"/>
  <c r="M20" i="2" s="1"/>
  <c r="M23" i="2" s="1"/>
  <c r="M25" i="2" s="1"/>
  <c r="M27" i="2" s="1"/>
  <c r="H46" i="2"/>
  <c r="N15" i="2"/>
  <c r="N20" i="2" s="1"/>
  <c r="N23" i="2" s="1"/>
  <c r="N25" i="2" s="1"/>
  <c r="N27" i="2" s="1"/>
  <c r="D46" i="2"/>
  <c r="I15" i="2"/>
  <c r="E15" i="2"/>
  <c r="S37" i="2"/>
  <c r="J15" i="2"/>
  <c r="C15" i="2"/>
  <c r="D15" i="2"/>
  <c r="D20" i="2" s="1"/>
  <c r="R37" i="2"/>
  <c r="L37" i="2"/>
  <c r="L15" i="2"/>
  <c r="K15" i="2"/>
  <c r="H15" i="2"/>
  <c r="T37" i="2"/>
  <c r="Q15" i="2"/>
  <c r="R15" i="2"/>
  <c r="S15" i="2"/>
  <c r="F15" i="2"/>
  <c r="T17" i="2" l="1"/>
  <c r="T35" i="2" s="1"/>
  <c r="T12" i="2"/>
  <c r="T16" i="2"/>
  <c r="T34" i="2" s="1"/>
  <c r="T13" i="2"/>
  <c r="U16" i="2"/>
  <c r="U34" i="2" s="1"/>
  <c r="U18" i="2"/>
  <c r="U36" i="2" s="1"/>
  <c r="U17" i="2"/>
  <c r="U35" i="2" s="1"/>
  <c r="U13" i="2"/>
  <c r="U12" i="2"/>
  <c r="U37" i="2"/>
  <c r="V32" i="2"/>
  <c r="V8" i="2"/>
  <c r="V11" i="2" s="1"/>
  <c r="W9" i="2"/>
  <c r="L47" i="2"/>
  <c r="G40" i="2"/>
  <c r="H47" i="2"/>
  <c r="G47" i="2"/>
  <c r="K47" i="2"/>
  <c r="K48" i="2" s="1"/>
  <c r="F47" i="2"/>
  <c r="J47" i="2"/>
  <c r="G39" i="2"/>
  <c r="I47" i="2"/>
  <c r="I20" i="2"/>
  <c r="I40" i="2" s="1"/>
  <c r="I39" i="2"/>
  <c r="E20" i="2"/>
  <c r="E40" i="2" s="1"/>
  <c r="E39" i="2"/>
  <c r="J20" i="2"/>
  <c r="J40" i="2" s="1"/>
  <c r="J39" i="2"/>
  <c r="C20" i="2"/>
  <c r="C23" i="2" s="1"/>
  <c r="C25" i="2" s="1"/>
  <c r="L20" i="2"/>
  <c r="L39" i="2"/>
  <c r="G41" i="2"/>
  <c r="K39" i="2"/>
  <c r="K20" i="2"/>
  <c r="R20" i="2"/>
  <c r="R39" i="2"/>
  <c r="D23" i="2"/>
  <c r="D25" i="2" s="1"/>
  <c r="S20" i="2"/>
  <c r="S39" i="2"/>
  <c r="Q20" i="2"/>
  <c r="Q39" i="2"/>
  <c r="H39" i="2"/>
  <c r="H20" i="2"/>
  <c r="F20" i="2"/>
  <c r="F39" i="2"/>
  <c r="U19" i="2" l="1"/>
  <c r="T14" i="2"/>
  <c r="T15" i="2" s="1"/>
  <c r="T39" i="2" s="1"/>
  <c r="T19" i="2"/>
  <c r="T20" i="2" s="1"/>
  <c r="T23" i="2" s="1"/>
  <c r="U14" i="2"/>
  <c r="U15" i="2" s="1"/>
  <c r="U39" i="2" s="1"/>
  <c r="V16" i="2"/>
  <c r="V34" i="2" s="1"/>
  <c r="V17" i="2"/>
  <c r="V35" i="2" s="1"/>
  <c r="V13" i="2"/>
  <c r="V12" i="2"/>
  <c r="V18" i="2"/>
  <c r="V36" i="2" s="1"/>
  <c r="W32" i="2"/>
  <c r="W8" i="2"/>
  <c r="W11" i="2" s="1"/>
  <c r="V37" i="2"/>
  <c r="X9" i="2"/>
  <c r="E23" i="2"/>
  <c r="E25" i="2" s="1"/>
  <c r="E41" i="2" s="1"/>
  <c r="L48" i="2"/>
  <c r="J23" i="2"/>
  <c r="J25" i="2" s="1"/>
  <c r="J41" i="2" s="1"/>
  <c r="J48" i="2"/>
  <c r="I23" i="2"/>
  <c r="I25" i="2" s="1"/>
  <c r="I41" i="2" s="1"/>
  <c r="L23" i="2"/>
  <c r="L25" i="2" s="1"/>
  <c r="L40" i="2"/>
  <c r="S23" i="2"/>
  <c r="S25" i="2" s="1"/>
  <c r="S40" i="2"/>
  <c r="K23" i="2"/>
  <c r="K25" i="2" s="1"/>
  <c r="K40" i="2"/>
  <c r="Q23" i="2"/>
  <c r="Q25" i="2" s="1"/>
  <c r="Q40" i="2"/>
  <c r="H23" i="2"/>
  <c r="H25" i="2" s="1"/>
  <c r="H40" i="2"/>
  <c r="D27" i="2"/>
  <c r="C27" i="2"/>
  <c r="R23" i="2"/>
  <c r="R25" i="2" s="1"/>
  <c r="R40" i="2"/>
  <c r="F23" i="2"/>
  <c r="F25" i="2" s="1"/>
  <c r="F40" i="2"/>
  <c r="U20" i="2" l="1"/>
  <c r="U40" i="2" s="1"/>
  <c r="V14" i="2"/>
  <c r="V15" i="2" s="1"/>
  <c r="V39" i="2" s="1"/>
  <c r="T24" i="2"/>
  <c r="T25" i="2" s="1"/>
  <c r="T40" i="2"/>
  <c r="W16" i="2"/>
  <c r="W34" i="2" s="1"/>
  <c r="W18" i="2"/>
  <c r="W36" i="2" s="1"/>
  <c r="W17" i="2"/>
  <c r="W35" i="2" s="1"/>
  <c r="W13" i="2"/>
  <c r="W12" i="2"/>
  <c r="W14" i="2" s="1"/>
  <c r="W15" i="2" s="1"/>
  <c r="X8" i="2"/>
  <c r="X11" i="2" s="1"/>
  <c r="X32" i="2"/>
  <c r="W37" i="2"/>
  <c r="Y9" i="2"/>
  <c r="V19" i="2"/>
  <c r="E27" i="2"/>
  <c r="J27" i="2"/>
  <c r="I27" i="2"/>
  <c r="L27" i="2"/>
  <c r="L41" i="2"/>
  <c r="H41" i="2"/>
  <c r="H27" i="2"/>
  <c r="R27" i="2"/>
  <c r="R41" i="2"/>
  <c r="K41" i="2"/>
  <c r="K27" i="2"/>
  <c r="Q27" i="2"/>
  <c r="Q41" i="2"/>
  <c r="S27" i="2"/>
  <c r="S41" i="2"/>
  <c r="F41" i="2"/>
  <c r="F27" i="2"/>
  <c r="V20" i="2" l="1"/>
  <c r="V40" i="2" s="1"/>
  <c r="T41" i="2"/>
  <c r="T27" i="2"/>
  <c r="T50" i="2"/>
  <c r="U21" i="2" s="1"/>
  <c r="U23" i="2" s="1"/>
  <c r="U24" i="2" s="1"/>
  <c r="U25" i="2" s="1"/>
  <c r="U27" i="2" s="1"/>
  <c r="X18" i="2"/>
  <c r="X36" i="2" s="1"/>
  <c r="X17" i="2"/>
  <c r="X35" i="2" s="1"/>
  <c r="X16" i="2"/>
  <c r="X34" i="2" s="1"/>
  <c r="U50" i="2"/>
  <c r="V21" i="2" s="1"/>
  <c r="V23" i="2" s="1"/>
  <c r="X12" i="2"/>
  <c r="X13" i="2"/>
  <c r="Y32" i="2"/>
  <c r="Y8" i="2"/>
  <c r="Y11" i="2" s="1"/>
  <c r="W39" i="2"/>
  <c r="X37" i="2"/>
  <c r="Z9" i="2"/>
  <c r="W19" i="2"/>
  <c r="W20" i="2" s="1"/>
  <c r="U41" i="2" l="1"/>
  <c r="Y18" i="2"/>
  <c r="Y36" i="2" s="1"/>
  <c r="Y17" i="2"/>
  <c r="Y35" i="2" s="1"/>
  <c r="V24" i="2"/>
  <c r="V25" i="2" s="1"/>
  <c r="Y34" i="2"/>
  <c r="Y12" i="2"/>
  <c r="Y13" i="2"/>
  <c r="X14" i="2"/>
  <c r="X15" i="2" s="1"/>
  <c r="X39" i="2" s="1"/>
  <c r="Z8" i="2"/>
  <c r="Z11" i="2" s="1"/>
  <c r="Z32" i="2"/>
  <c r="W40" i="2"/>
  <c r="X19" i="2"/>
  <c r="Y37" i="2"/>
  <c r="Z34" i="2" l="1"/>
  <c r="Z17" i="2"/>
  <c r="Z35" i="2" s="1"/>
  <c r="Z36" i="2"/>
  <c r="V50" i="2"/>
  <c r="W21" i="2" s="1"/>
  <c r="W23" i="2" s="1"/>
  <c r="V41" i="2"/>
  <c r="V27" i="2"/>
  <c r="Z12" i="2"/>
  <c r="Z13" i="2"/>
  <c r="Y14" i="2"/>
  <c r="Y15" i="2" s="1"/>
  <c r="Y39" i="2" s="1"/>
  <c r="X20" i="2"/>
  <c r="Z37" i="2"/>
  <c r="Y19" i="2"/>
  <c r="Y20" i="2" l="1"/>
  <c r="Y40" i="2" s="1"/>
  <c r="Z14" i="2"/>
  <c r="Z15" i="2" s="1"/>
  <c r="Z39" i="2" s="1"/>
  <c r="W24" i="2"/>
  <c r="W25" i="2" s="1"/>
  <c r="X40" i="2"/>
  <c r="Z19" i="2"/>
  <c r="Z20" i="2" l="1"/>
  <c r="Z40" i="2" s="1"/>
  <c r="W50" i="2"/>
  <c r="X21" i="2" s="1"/>
  <c r="X23" i="2" s="1"/>
  <c r="W27" i="2"/>
  <c r="W41" i="2"/>
  <c r="X24" i="2" l="1"/>
  <c r="X25" i="2" s="1"/>
  <c r="X50" i="2" l="1"/>
  <c r="Y21" i="2" s="1"/>
  <c r="Y23" i="2" s="1"/>
  <c r="X41" i="2"/>
  <c r="X27" i="2"/>
  <c r="Y24" i="2" l="1"/>
  <c r="Y25" i="2" s="1"/>
  <c r="Y50" i="2" l="1"/>
  <c r="Y41" i="2"/>
  <c r="Y27" i="2"/>
  <c r="Z21" i="2" l="1"/>
  <c r="Z23" i="2" s="1"/>
  <c r="Z24" i="2" l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C5" i="2" s="1"/>
  <c r="AC7" i="2" s="1"/>
  <c r="AC8" i="2" s="1"/>
  <c r="Z41" i="2" l="1"/>
  <c r="Z27" i="2"/>
  <c r="Z50" i="2"/>
</calcChain>
</file>

<file path=xl/sharedStrings.xml><?xml version="1.0" encoding="utf-8"?>
<sst xmlns="http://schemas.openxmlformats.org/spreadsheetml/2006/main" count="98" uniqueCount="89">
  <si>
    <t>ticket</t>
  </si>
  <si>
    <t>price</t>
  </si>
  <si>
    <t>shares</t>
  </si>
  <si>
    <t>mc</t>
  </si>
  <si>
    <t>cash</t>
  </si>
  <si>
    <t>debt</t>
  </si>
  <si>
    <t>ev</t>
  </si>
  <si>
    <t>now</t>
  </si>
  <si>
    <t>Subscription</t>
  </si>
  <si>
    <t>Services and others</t>
  </si>
  <si>
    <t>Q1 2024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</si>
  <si>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</si>
  <si>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</si>
  <si>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</si>
  <si>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</si>
  <si>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</si>
  <si>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</si>
  <si>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</si>
  <si>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</si>
  <si>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Q2 2024</t>
  </si>
  <si>
    <t>Q3 2024</t>
  </si>
  <si>
    <t>Q4 2024</t>
  </si>
  <si>
    <t>Cost of subs</t>
  </si>
  <si>
    <t>Cost of services</t>
  </si>
  <si>
    <t>Total Costs</t>
  </si>
  <si>
    <t>Gross Profit</t>
  </si>
  <si>
    <t>S&amp;M</t>
  </si>
  <si>
    <t>R&amp;D</t>
  </si>
  <si>
    <t>G&amp;A</t>
  </si>
  <si>
    <t>Total Opex</t>
  </si>
  <si>
    <t>Operating Income</t>
  </si>
  <si>
    <t>Interest Income</t>
  </si>
  <si>
    <t>Other Expenses</t>
  </si>
  <si>
    <t>Pretax Income</t>
  </si>
  <si>
    <t>Taxes</t>
  </si>
  <si>
    <t>Net Income</t>
  </si>
  <si>
    <t>Shares</t>
  </si>
  <si>
    <t>EPS</t>
  </si>
  <si>
    <t>Revenue Y/Y</t>
  </si>
  <si>
    <t>Gross Margin</t>
  </si>
  <si>
    <t>Net Margin</t>
  </si>
  <si>
    <t>Operating Margin</t>
  </si>
  <si>
    <t>CFFO</t>
  </si>
  <si>
    <t>CAPEX</t>
  </si>
  <si>
    <t>SBC</t>
  </si>
  <si>
    <t>FCF</t>
  </si>
  <si>
    <t>main</t>
  </si>
  <si>
    <t>Net Cash</t>
  </si>
  <si>
    <t xml:space="preserve">cash </t>
  </si>
  <si>
    <t>ST investments</t>
  </si>
  <si>
    <t>AR</t>
  </si>
  <si>
    <t>Deferred comissions</t>
  </si>
  <si>
    <t>Prepaid expenses</t>
  </si>
  <si>
    <t>Deferred comissions NC</t>
  </si>
  <si>
    <t>LT investments</t>
  </si>
  <si>
    <t>PPE</t>
  </si>
  <si>
    <t>Operating assets</t>
  </si>
  <si>
    <t>Intangibles</t>
  </si>
  <si>
    <t>Goodwill</t>
  </si>
  <si>
    <t>Deferred taxes</t>
  </si>
  <si>
    <t>Other Assets</t>
  </si>
  <si>
    <t>Total Assets</t>
  </si>
  <si>
    <t>AP</t>
  </si>
  <si>
    <t>Accrued expenses</t>
  </si>
  <si>
    <t>Deferred revenue</t>
  </si>
  <si>
    <t>Operating liabilities</t>
  </si>
  <si>
    <t>LT Debt</t>
  </si>
  <si>
    <t>Other liabilities</t>
  </si>
  <si>
    <t>Total Liabilities</t>
  </si>
  <si>
    <t>S/E</t>
  </si>
  <si>
    <t>Deferred revenue NC</t>
  </si>
  <si>
    <t>Operating liabilities NC</t>
  </si>
  <si>
    <t>TTM FCF</t>
  </si>
  <si>
    <t>YoY</t>
  </si>
  <si>
    <t>Revenue</t>
  </si>
  <si>
    <t>NA</t>
  </si>
  <si>
    <t>EMEA</t>
  </si>
  <si>
    <t>AP and Other</t>
  </si>
  <si>
    <t>Digital workflow products</t>
  </si>
  <si>
    <t>ITOM products</t>
  </si>
  <si>
    <t>$1M+ ARR</t>
  </si>
  <si>
    <t>Renewal Rate</t>
  </si>
  <si>
    <t>Discount</t>
  </si>
  <si>
    <t>Maturity</t>
  </si>
  <si>
    <t>ROIC</t>
  </si>
  <si>
    <t xml:space="preserve">NPV </t>
  </si>
  <si>
    <t>Mkt value</t>
  </si>
  <si>
    <t>Price</t>
  </si>
  <si>
    <t>TTM FCF/EV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</si>
</sst>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0.0%"/>
    <numFmt numFmtId="166" formatCode="_-[$$-409]* #,##0_ ;_-[$$-409]* \-#,##0\ ;_-[$$-409]* &quot;-&quot;??_ ;_-@_ "/>
    <numFmt numFmtId="167" formatCode="[$$-409]#,##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9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3" fillId="0" borderId="0" xfId="1"/>
    <xf numFmtId="165" fontId="1" fillId="0" borderId="0" xfId="0" applyNumberFormat="1" applyFont="1"/>
    <xf numFmtId="0" fontId="4" fillId="0" borderId="0" xfId="0" applyFont="1"/>
    <xf numFmtId="165" fontId="2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9525</xdr:rowOff>
    </xdr:from>
    <xdr:to>
      <xdr:col>19</xdr:col>
      <xdr:colOff>0</xdr:colOff>
      <xdr:row>51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3B887E-33BA-9DF4-4052-055CE5E1FEC7}"/>
            </a:ext>
          </a:extLst>
        </xdr:cNvPr>
        <xdr:cNvCxnSpPr/>
      </xdr:nvCxnSpPr>
      <xdr:spPr>
        <a:xfrm>
          <a:off x="12172950" y="9525"/>
          <a:ext cx="0" cy="8924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3111-E2FE-4543-8121-017DDF776FE3}">
  <dimension ref="A1:B9"/>
  <sheetViews>
    <sheetView zoomScale="90" zoomScaleNormal="90" workbookViewId="0">
      <selection activeCell="J6" sqref="J6"/>
    </sheetView>
  </sheetViews>
  <sheetFormatPr defaultColWidth="8.88671875" defaultRowHeight="13.2" x14ac:dyDescent="0.25"/>
  <cols>
    <col min="1" max="1" width="6.44140625" style="1" bestFit="1" customWidth="1"/>
    <col min="2" max="16384" width="8.88671875" style="1"/>
  </cols>
  <sheetData>
    <row r="1" spans="1:2" x14ac:dyDescent="0.25">
      <c r="A1" s="16" t="s">
        <v>0</v>
      </c>
      <c r="B1" s="7" t="s">
        <v>7</v>
      </c>
    </row>
    <row r="2" spans="1:2" x14ac:dyDescent="0.25">
      <c r="A2" s="16" t="s">
        <v>1</v>
      </c>
      <c r="B2" s="7">
        <v>850</v>
      </c>
    </row>
    <row r="3" spans="1:2" x14ac:dyDescent="0.25">
      <c r="A3" s="16" t="s">
        <v>2</v>
      </c>
      <c r="B3" s="7">
        <v>205</v>
      </c>
    </row>
    <row r="4" spans="1:2" x14ac:dyDescent="0.25">
      <c r="A4" s="16" t="s">
        <v>3</v>
      </c>
      <c r="B4" s="17">
        <f>+B2*B3</f>
        <v>174250</v>
      </c>
    </row>
    <row r="5" spans="1:2" x14ac:dyDescent="0.25">
      <c r="A5" s="16" t="s">
        <v>4</v>
      </c>
      <c r="B5" s="17">
        <f>2159+3254+3472</f>
        <v>8885</v>
      </c>
    </row>
    <row r="6" spans="1:2" x14ac:dyDescent="0.25">
      <c r="A6" s="16" t="s">
        <v>5</v>
      </c>
      <c r="B6" s="17">
        <v>1488</v>
      </c>
    </row>
    <row r="7" spans="1:2" x14ac:dyDescent="0.25">
      <c r="A7" s="16" t="s">
        <v>6</v>
      </c>
      <c r="B7" s="17">
        <f>+B4-B5+B6</f>
        <v>166853</v>
      </c>
    </row>
    <row r="9" spans="1:2" x14ac:dyDescent="0.25">
      <c r="A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AA2A-E56E-4872-A2FC-2B63594BF758}">
  <dimension ref="A1:BO79"/>
  <sheetViews>
    <sheetView tabSelected="1" zoomScale="80" zoomScaleNormal="80" workbookViewId="0">
      <pane xSplit="2" ySplit="1" topLeftCell="F8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ColWidth="8.88671875" defaultRowHeight="13.2" x14ac:dyDescent="0.25"/>
  <cols>
    <col min="1" max="1" width="5" style="1" bestFit="1" customWidth="1"/>
    <col min="2" max="2" width="21.33203125" style="1" bestFit="1" customWidth="1"/>
    <col min="3" max="27" width="8.88671875" style="1"/>
    <col min="28" max="28" width="11.5546875" style="1" bestFit="1" customWidth="1"/>
    <col min="29" max="29" width="12.33203125" style="1" bestFit="1" customWidth="1"/>
    <col min="30" max="16384" width="8.88671875" style="1"/>
  </cols>
  <sheetData>
    <row r="1" spans="1:29" ht="14.4" x14ac:dyDescent="0.3">
      <c r="A1" s="9" t="s">
        <v>46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10</v>
      </c>
      <c r="L1" s="2" t="s">
        <v>19</v>
      </c>
      <c r="M1" s="2" t="s">
        <v>20</v>
      </c>
      <c r="N1" s="2" t="s">
        <v>21</v>
      </c>
      <c r="Q1" s="2">
        <v>2021</v>
      </c>
      <c r="R1" s="2">
        <v>2022</v>
      </c>
      <c r="S1" s="2">
        <f>+R1+1</f>
        <v>2023</v>
      </c>
      <c r="T1" s="2">
        <f t="shared" ref="T1:Z1" si="0">+S1+1</f>
        <v>2024</v>
      </c>
      <c r="U1" s="2">
        <f t="shared" si="0"/>
        <v>2025</v>
      </c>
      <c r="V1" s="2">
        <f t="shared" si="0"/>
        <v>2026</v>
      </c>
      <c r="W1" s="2">
        <f t="shared" si="0"/>
        <v>2027</v>
      </c>
      <c r="X1" s="2">
        <f t="shared" si="0"/>
        <v>2028</v>
      </c>
      <c r="Y1" s="2">
        <f t="shared" si="0"/>
        <v>2029</v>
      </c>
      <c r="Z1" s="2">
        <f t="shared" si="0"/>
        <v>2030</v>
      </c>
    </row>
    <row r="2" spans="1:29" ht="14.4" x14ac:dyDescent="0.3">
      <c r="A2" s="9"/>
      <c r="B2" s="1" t="s">
        <v>75</v>
      </c>
      <c r="C2" s="5"/>
      <c r="D2" s="5"/>
      <c r="E2" s="5">
        <v>1209</v>
      </c>
      <c r="F2" s="5"/>
      <c r="G2" s="5">
        <v>1344</v>
      </c>
      <c r="H2" s="5">
        <v>1369</v>
      </c>
      <c r="I2" s="5">
        <v>1452</v>
      </c>
      <c r="J2" s="5"/>
      <c r="K2" s="5">
        <v>1637</v>
      </c>
      <c r="L2" s="5">
        <v>1665</v>
      </c>
      <c r="M2" s="5"/>
      <c r="N2" s="5"/>
      <c r="Q2" s="5">
        <v>3752</v>
      </c>
      <c r="R2" s="5">
        <v>4723</v>
      </c>
      <c r="S2" s="5">
        <v>5702</v>
      </c>
      <c r="T2" s="5"/>
      <c r="U2" s="5"/>
      <c r="V2" s="5"/>
      <c r="W2" s="5"/>
      <c r="X2" s="5"/>
      <c r="Y2" s="5"/>
      <c r="Z2" s="5"/>
      <c r="AB2" s="1" t="s">
        <v>82</v>
      </c>
      <c r="AC2" s="4">
        <v>7.0000000000000007E-2</v>
      </c>
    </row>
    <row r="3" spans="1:29" ht="14.4" x14ac:dyDescent="0.3">
      <c r="A3" s="9"/>
      <c r="B3" s="1" t="s">
        <v>76</v>
      </c>
      <c r="C3" s="5"/>
      <c r="D3" s="5"/>
      <c r="E3" s="5">
        <v>432</v>
      </c>
      <c r="F3" s="5"/>
      <c r="G3" s="5">
        <v>532</v>
      </c>
      <c r="H3" s="5">
        <v>547</v>
      </c>
      <c r="I3" s="5">
        <v>585</v>
      </c>
      <c r="J3" s="5"/>
      <c r="K3" s="5">
        <v>676</v>
      </c>
      <c r="L3" s="5">
        <v>661</v>
      </c>
      <c r="M3" s="5"/>
      <c r="N3" s="5"/>
      <c r="Q3" s="5">
        <v>1551</v>
      </c>
      <c r="R3" s="5">
        <v>1778</v>
      </c>
      <c r="S3" s="5">
        <v>2298</v>
      </c>
      <c r="T3" s="5"/>
      <c r="U3" s="5"/>
      <c r="V3" s="5"/>
      <c r="W3" s="5"/>
      <c r="X3" s="5"/>
      <c r="Y3" s="5"/>
      <c r="Z3" s="5"/>
      <c r="AB3" s="1" t="s">
        <v>83</v>
      </c>
      <c r="AC3" s="4">
        <v>0.03</v>
      </c>
    </row>
    <row r="4" spans="1:29" ht="14.4" x14ac:dyDescent="0.3">
      <c r="A4" s="9"/>
      <c r="B4" s="1" t="s">
        <v>77</v>
      </c>
      <c r="C4" s="5"/>
      <c r="D4" s="5"/>
      <c r="E4" s="5">
        <v>190</v>
      </c>
      <c r="F4" s="5"/>
      <c r="G4" s="5">
        <v>220</v>
      </c>
      <c r="H4" s="5">
        <v>234</v>
      </c>
      <c r="I4" s="5">
        <v>251</v>
      </c>
      <c r="J4" s="5"/>
      <c r="K4" s="5">
        <v>290</v>
      </c>
      <c r="L4" s="5">
        <v>301</v>
      </c>
      <c r="M4" s="5"/>
      <c r="N4" s="5"/>
      <c r="Q4" s="5">
        <v>593</v>
      </c>
      <c r="R4" s="5">
        <v>744</v>
      </c>
      <c r="S4" s="5">
        <v>971</v>
      </c>
      <c r="T4" s="5"/>
      <c r="U4" s="5"/>
      <c r="V4" s="5"/>
      <c r="W4" s="5"/>
      <c r="X4" s="5"/>
      <c r="Y4" s="5"/>
      <c r="Z4" s="5"/>
      <c r="AB4" s="1" t="s">
        <v>84</v>
      </c>
      <c r="AC4" s="4">
        <v>0.05</v>
      </c>
    </row>
    <row r="5" spans="1:29" ht="14.4" x14ac:dyDescent="0.3">
      <c r="A5" s="9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Q5" s="2"/>
      <c r="R5" s="2"/>
      <c r="S5" s="2"/>
      <c r="T5" s="2"/>
      <c r="U5" s="2"/>
      <c r="V5" s="2"/>
      <c r="W5" s="2"/>
      <c r="X5" s="2"/>
      <c r="Y5" s="2"/>
      <c r="Z5" s="2"/>
      <c r="AB5" s="1" t="s">
        <v>85</v>
      </c>
      <c r="AC5" s="13">
        <f>+NPV(AC2,T25:BO25)</f>
        <v>113649.95477274325</v>
      </c>
    </row>
    <row r="6" spans="1:29" ht="14.4" x14ac:dyDescent="0.3">
      <c r="A6" s="9"/>
      <c r="B6" s="1" t="s">
        <v>78</v>
      </c>
      <c r="C6" s="5"/>
      <c r="D6" s="5"/>
      <c r="E6" s="5">
        <v>1534</v>
      </c>
      <c r="F6" s="5"/>
      <c r="G6" s="5">
        <v>1790</v>
      </c>
      <c r="H6" s="5">
        <v>1836</v>
      </c>
      <c r="I6" s="5">
        <v>1961</v>
      </c>
      <c r="J6" s="5"/>
      <c r="K6" s="5">
        <v>2231</v>
      </c>
      <c r="L6" s="5">
        <v>2248</v>
      </c>
      <c r="Q6" s="5">
        <v>4882</v>
      </c>
      <c r="R6" s="5">
        <v>6077</v>
      </c>
      <c r="S6" s="5">
        <v>7679</v>
      </c>
      <c r="T6" s="5">
        <f>+S6*1.25</f>
        <v>9598.75</v>
      </c>
      <c r="U6" s="5">
        <f t="shared" ref="U6:Z6" si="1">+T6*1.25</f>
        <v>11998.4375</v>
      </c>
      <c r="V6" s="5">
        <f t="shared" si="1"/>
        <v>14998.046875</v>
      </c>
      <c r="W6" s="5">
        <f t="shared" si="1"/>
        <v>18747.55859375</v>
      </c>
      <c r="X6" s="5">
        <f t="shared" si="1"/>
        <v>23434.4482421875</v>
      </c>
      <c r="Y6" s="5">
        <f t="shared" si="1"/>
        <v>29293.060302734375</v>
      </c>
      <c r="Z6" s="5">
        <f t="shared" si="1"/>
        <v>36616.325378417969</v>
      </c>
      <c r="AB6" s="1" t="s">
        <v>47</v>
      </c>
      <c r="AC6" s="13">
        <f>+L50</f>
        <v>7397</v>
      </c>
    </row>
    <row r="7" spans="1:29" ht="14.4" x14ac:dyDescent="0.3">
      <c r="A7" s="9"/>
      <c r="B7" s="1" t="s">
        <v>79</v>
      </c>
      <c r="C7" s="5"/>
      <c r="D7" s="5"/>
      <c r="E7" s="5">
        <v>208</v>
      </c>
      <c r="F7" s="5"/>
      <c r="G7" s="5">
        <v>234</v>
      </c>
      <c r="H7" s="5">
        <v>239</v>
      </c>
      <c r="I7" s="5">
        <v>255</v>
      </c>
      <c r="J7" s="5"/>
      <c r="K7" s="5">
        <v>292</v>
      </c>
      <c r="L7" s="5">
        <v>294</v>
      </c>
      <c r="Q7" s="5">
        <v>691</v>
      </c>
      <c r="R7" s="5">
        <v>814</v>
      </c>
      <c r="S7" s="5">
        <v>1001</v>
      </c>
      <c r="T7" s="5">
        <f>+S7*1.15</f>
        <v>1151.1499999999999</v>
      </c>
      <c r="U7" s="5">
        <f t="shared" ref="U7:Z7" si="2">+T7*1.15</f>
        <v>1323.8224999999998</v>
      </c>
      <c r="V7" s="5">
        <f t="shared" si="2"/>
        <v>1522.3958749999997</v>
      </c>
      <c r="W7" s="5">
        <f t="shared" si="2"/>
        <v>1750.7552562499995</v>
      </c>
      <c r="X7" s="5">
        <f t="shared" si="2"/>
        <v>2013.3685446874993</v>
      </c>
      <c r="Y7" s="5">
        <f t="shared" si="2"/>
        <v>2315.3738263906239</v>
      </c>
      <c r="Z7" s="5">
        <f t="shared" si="2"/>
        <v>2662.6799003492174</v>
      </c>
      <c r="AB7" s="1" t="s">
        <v>86</v>
      </c>
      <c r="AC7" s="13">
        <f>+AC5+AC6</f>
        <v>121046.95477274325</v>
      </c>
    </row>
    <row r="8" spans="1:29" x14ac:dyDescent="0.25">
      <c r="B8" s="1" t="s">
        <v>8</v>
      </c>
      <c r="C8" s="5">
        <v>1631</v>
      </c>
      <c r="D8" s="5">
        <v>1658</v>
      </c>
      <c r="E8" s="5">
        <v>1742</v>
      </c>
      <c r="F8" s="5">
        <v>1860</v>
      </c>
      <c r="G8" s="5">
        <v>2024</v>
      </c>
      <c r="H8" s="5">
        <v>2075</v>
      </c>
      <c r="I8" s="5">
        <v>2216</v>
      </c>
      <c r="J8" s="5">
        <v>2365</v>
      </c>
      <c r="K8" s="5">
        <v>2523</v>
      </c>
      <c r="L8" s="5">
        <v>2542</v>
      </c>
      <c r="M8" s="5"/>
      <c r="N8" s="5"/>
      <c r="O8" s="5"/>
      <c r="P8" s="5"/>
      <c r="Q8" s="5">
        <v>5573</v>
      </c>
      <c r="R8" s="5">
        <v>6891</v>
      </c>
      <c r="S8" s="5">
        <v>8680</v>
      </c>
      <c r="T8" s="5">
        <f>+T6+T7</f>
        <v>10749.9</v>
      </c>
      <c r="U8" s="5">
        <f t="shared" ref="U8:Z8" si="3">+U6+U7</f>
        <v>13322.26</v>
      </c>
      <c r="V8" s="5">
        <f t="shared" si="3"/>
        <v>16520.442749999998</v>
      </c>
      <c r="W8" s="5">
        <f t="shared" si="3"/>
        <v>20498.313849999999</v>
      </c>
      <c r="X8" s="5">
        <f t="shared" si="3"/>
        <v>25447.816786874999</v>
      </c>
      <c r="Y8" s="5">
        <f t="shared" si="3"/>
        <v>31608.434129124998</v>
      </c>
      <c r="Z8" s="5">
        <f t="shared" si="3"/>
        <v>39279.005278767188</v>
      </c>
      <c r="AB8" s="1" t="s">
        <v>87</v>
      </c>
      <c r="AC8" s="14">
        <f>+AC7/main!B3</f>
        <v>590.47295011094263</v>
      </c>
    </row>
    <row r="9" spans="1:29" x14ac:dyDescent="0.25">
      <c r="B9" s="1" t="s">
        <v>9</v>
      </c>
      <c r="C9" s="5">
        <v>91</v>
      </c>
      <c r="D9" s="5">
        <v>94</v>
      </c>
      <c r="E9" s="5">
        <v>89</v>
      </c>
      <c r="F9" s="5">
        <v>80</v>
      </c>
      <c r="G9" s="5">
        <v>72</v>
      </c>
      <c r="H9" s="5">
        <v>75</v>
      </c>
      <c r="I9" s="5">
        <v>72</v>
      </c>
      <c r="J9" s="5">
        <v>72</v>
      </c>
      <c r="K9" s="5">
        <v>80</v>
      </c>
      <c r="L9" s="5">
        <v>85</v>
      </c>
      <c r="M9" s="5"/>
      <c r="N9" s="5"/>
      <c r="O9" s="5"/>
      <c r="P9" s="5"/>
      <c r="Q9" s="5">
        <v>323</v>
      </c>
      <c r="R9" s="5">
        <v>354</v>
      </c>
      <c r="S9" s="5">
        <v>291</v>
      </c>
      <c r="T9" s="5">
        <f>+S9*1.025</f>
        <v>298.27499999999998</v>
      </c>
      <c r="U9" s="5">
        <f t="shared" ref="U9:Z9" si="4">+T9*1.025</f>
        <v>305.73187499999995</v>
      </c>
      <c r="V9" s="5">
        <f t="shared" si="4"/>
        <v>313.37517187499992</v>
      </c>
      <c r="W9" s="5">
        <f t="shared" si="4"/>
        <v>321.20955117187486</v>
      </c>
      <c r="X9" s="5">
        <f t="shared" si="4"/>
        <v>329.2397899511717</v>
      </c>
      <c r="Y9" s="5">
        <f t="shared" si="4"/>
        <v>337.47078469995097</v>
      </c>
      <c r="Z9" s="5">
        <f t="shared" si="4"/>
        <v>345.90755431744969</v>
      </c>
    </row>
    <row r="10" spans="1:29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B10" s="1" t="s">
        <v>88</v>
      </c>
      <c r="AC10" s="15">
        <f>+L47/main!B7</f>
        <v>1.8477342331273638E-2</v>
      </c>
    </row>
    <row r="11" spans="1:29" x14ac:dyDescent="0.25">
      <c r="B11" s="2" t="s">
        <v>74</v>
      </c>
      <c r="C11" s="6">
        <f t="shared" ref="C11:J11" si="5">+C8+C9</f>
        <v>1722</v>
      </c>
      <c r="D11" s="6">
        <f t="shared" si="5"/>
        <v>1752</v>
      </c>
      <c r="E11" s="6">
        <f t="shared" si="5"/>
        <v>1831</v>
      </c>
      <c r="F11" s="6">
        <f t="shared" si="5"/>
        <v>1940</v>
      </c>
      <c r="G11" s="6">
        <f t="shared" si="5"/>
        <v>2096</v>
      </c>
      <c r="H11" s="6">
        <f t="shared" si="5"/>
        <v>2150</v>
      </c>
      <c r="I11" s="6">
        <f t="shared" si="5"/>
        <v>2288</v>
      </c>
      <c r="J11" s="6">
        <f t="shared" si="5"/>
        <v>2437</v>
      </c>
      <c r="K11" s="6">
        <f>+K8+K9</f>
        <v>2603</v>
      </c>
      <c r="L11" s="6">
        <f t="shared" ref="L11:N11" si="6">+L8+L9</f>
        <v>2627</v>
      </c>
      <c r="M11" s="6">
        <f t="shared" si="6"/>
        <v>0</v>
      </c>
      <c r="N11" s="6">
        <f t="shared" si="6"/>
        <v>0</v>
      </c>
      <c r="O11" s="5"/>
      <c r="P11" s="5"/>
      <c r="Q11" s="6">
        <f t="shared" ref="Q11:Z11" si="7">+Q8+Q9</f>
        <v>5896</v>
      </c>
      <c r="R11" s="6">
        <f t="shared" si="7"/>
        <v>7245</v>
      </c>
      <c r="S11" s="6">
        <f t="shared" si="7"/>
        <v>8971</v>
      </c>
      <c r="T11" s="6">
        <f t="shared" si="7"/>
        <v>11048.174999999999</v>
      </c>
      <c r="U11" s="6">
        <f t="shared" si="7"/>
        <v>13627.991875</v>
      </c>
      <c r="V11" s="6">
        <f t="shared" si="7"/>
        <v>16833.817921874997</v>
      </c>
      <c r="W11" s="6">
        <f t="shared" si="7"/>
        <v>20819.523401171875</v>
      </c>
      <c r="X11" s="6">
        <f t="shared" si="7"/>
        <v>25777.056576826169</v>
      </c>
      <c r="Y11" s="6">
        <f t="shared" si="7"/>
        <v>31945.90491382495</v>
      </c>
      <c r="Z11" s="6">
        <f t="shared" si="7"/>
        <v>39624.912833084636</v>
      </c>
    </row>
    <row r="12" spans="1:29" x14ac:dyDescent="0.25">
      <c r="B12" s="1" t="s">
        <v>22</v>
      </c>
      <c r="C12" s="5">
        <v>275</v>
      </c>
      <c r="D12" s="5">
        <v>287</v>
      </c>
      <c r="E12" s="5">
        <v>301</v>
      </c>
      <c r="F12" s="5">
        <v>324</v>
      </c>
      <c r="G12" s="5">
        <v>354</v>
      </c>
      <c r="H12" s="5">
        <v>389</v>
      </c>
      <c r="I12" s="5">
        <v>420</v>
      </c>
      <c r="J12" s="5">
        <v>443</v>
      </c>
      <c r="K12" s="5">
        <v>441</v>
      </c>
      <c r="L12" s="5">
        <v>469</v>
      </c>
      <c r="M12" s="5"/>
      <c r="N12" s="5"/>
      <c r="O12" s="5"/>
      <c r="P12" s="5"/>
      <c r="Q12" s="5">
        <v>1022</v>
      </c>
      <c r="R12" s="5">
        <v>1187</v>
      </c>
      <c r="S12" s="5">
        <v>1606</v>
      </c>
      <c r="T12" s="5">
        <f>+T11*0.17</f>
        <v>1878.18975</v>
      </c>
      <c r="U12" s="5">
        <f t="shared" ref="U12:Z12" si="8">+U11*0.17</f>
        <v>2316.7586187500001</v>
      </c>
      <c r="V12" s="5">
        <f t="shared" si="8"/>
        <v>2861.7490467187499</v>
      </c>
      <c r="W12" s="5">
        <f t="shared" si="8"/>
        <v>3539.3189781992191</v>
      </c>
      <c r="X12" s="5">
        <f t="shared" si="8"/>
        <v>4382.0996180604488</v>
      </c>
      <c r="Y12" s="5">
        <f t="shared" si="8"/>
        <v>5430.8038353502416</v>
      </c>
      <c r="Z12" s="5">
        <f t="shared" si="8"/>
        <v>6736.235181624389</v>
      </c>
    </row>
    <row r="13" spans="1:29" x14ac:dyDescent="0.25">
      <c r="B13" s="1" t="s">
        <v>23</v>
      </c>
      <c r="C13" s="5">
        <v>94</v>
      </c>
      <c r="D13" s="5">
        <v>102</v>
      </c>
      <c r="E13" s="5">
        <v>99</v>
      </c>
      <c r="F13" s="5">
        <v>91</v>
      </c>
      <c r="G13" s="5">
        <v>84</v>
      </c>
      <c r="H13" s="5">
        <v>82</v>
      </c>
      <c r="I13" s="5">
        <v>76</v>
      </c>
      <c r="J13" s="5">
        <v>73</v>
      </c>
      <c r="K13" s="5">
        <v>79</v>
      </c>
      <c r="L13" s="5">
        <v>83</v>
      </c>
      <c r="M13" s="5"/>
      <c r="N13" s="5"/>
      <c r="O13" s="5"/>
      <c r="P13" s="5"/>
      <c r="Q13" s="5">
        <v>331</v>
      </c>
      <c r="R13" s="5">
        <v>386</v>
      </c>
      <c r="S13" s="5">
        <v>315</v>
      </c>
      <c r="T13" s="5">
        <f>+T11*0.035</f>
        <v>386.686125</v>
      </c>
      <c r="U13" s="5">
        <f t="shared" ref="U13:Z13" si="9">+U11*0.035</f>
        <v>476.97971562500004</v>
      </c>
      <c r="V13" s="5">
        <f t="shared" si="9"/>
        <v>589.18362726562498</v>
      </c>
      <c r="W13" s="5">
        <f t="shared" si="9"/>
        <v>728.68331904101569</v>
      </c>
      <c r="X13" s="5">
        <f t="shared" si="9"/>
        <v>902.19698018891597</v>
      </c>
      <c r="Y13" s="5">
        <f t="shared" si="9"/>
        <v>1118.1066719838734</v>
      </c>
      <c r="Z13" s="5">
        <f t="shared" si="9"/>
        <v>1386.8719491579625</v>
      </c>
    </row>
    <row r="14" spans="1:29" x14ac:dyDescent="0.25">
      <c r="B14" s="1" t="s">
        <v>24</v>
      </c>
      <c r="C14" s="5">
        <f t="shared" ref="C14:J14" si="10">+C12+C13</f>
        <v>369</v>
      </c>
      <c r="D14" s="5">
        <f t="shared" si="10"/>
        <v>389</v>
      </c>
      <c r="E14" s="5">
        <f t="shared" si="10"/>
        <v>400</v>
      </c>
      <c r="F14" s="5">
        <f t="shared" si="10"/>
        <v>415</v>
      </c>
      <c r="G14" s="5">
        <f t="shared" si="10"/>
        <v>438</v>
      </c>
      <c r="H14" s="5">
        <f t="shared" si="10"/>
        <v>471</v>
      </c>
      <c r="I14" s="5">
        <f t="shared" si="10"/>
        <v>496</v>
      </c>
      <c r="J14" s="5">
        <f t="shared" si="10"/>
        <v>516</v>
      </c>
      <c r="K14" s="5">
        <f>+K12+K13</f>
        <v>520</v>
      </c>
      <c r="L14" s="5">
        <f t="shared" ref="L14:N14" si="11">+L12+L13</f>
        <v>552</v>
      </c>
      <c r="M14" s="5">
        <f t="shared" si="11"/>
        <v>0</v>
      </c>
      <c r="N14" s="5">
        <f t="shared" si="11"/>
        <v>0</v>
      </c>
      <c r="O14" s="5"/>
      <c r="P14" s="5"/>
      <c r="Q14" s="5">
        <f t="shared" ref="Q14:Z14" si="12">+Q12+Q13</f>
        <v>1353</v>
      </c>
      <c r="R14" s="5">
        <f t="shared" si="12"/>
        <v>1573</v>
      </c>
      <c r="S14" s="5">
        <f t="shared" si="12"/>
        <v>1921</v>
      </c>
      <c r="T14" s="5">
        <f t="shared" si="12"/>
        <v>2264.8758750000002</v>
      </c>
      <c r="U14" s="5">
        <f t="shared" si="12"/>
        <v>2793.7383343750002</v>
      </c>
      <c r="V14" s="5">
        <f t="shared" si="12"/>
        <v>3450.932673984375</v>
      </c>
      <c r="W14" s="5">
        <f t="shared" si="12"/>
        <v>4268.0022972402348</v>
      </c>
      <c r="X14" s="5">
        <f t="shared" si="12"/>
        <v>5284.2965982493652</v>
      </c>
      <c r="Y14" s="5">
        <f t="shared" si="12"/>
        <v>6548.9105073341152</v>
      </c>
      <c r="Z14" s="5">
        <f t="shared" si="12"/>
        <v>8123.1071307823513</v>
      </c>
    </row>
    <row r="15" spans="1:29" x14ac:dyDescent="0.25">
      <c r="B15" s="1" t="s">
        <v>25</v>
      </c>
      <c r="C15" s="5">
        <f t="shared" ref="C15:J15" si="13">+C11-C14</f>
        <v>1353</v>
      </c>
      <c r="D15" s="5">
        <f t="shared" si="13"/>
        <v>1363</v>
      </c>
      <c r="E15" s="5">
        <f t="shared" si="13"/>
        <v>1431</v>
      </c>
      <c r="F15" s="5">
        <f t="shared" si="13"/>
        <v>1525</v>
      </c>
      <c r="G15" s="5">
        <f t="shared" si="13"/>
        <v>1658</v>
      </c>
      <c r="H15" s="5">
        <f t="shared" si="13"/>
        <v>1679</v>
      </c>
      <c r="I15" s="5">
        <f t="shared" si="13"/>
        <v>1792</v>
      </c>
      <c r="J15" s="5">
        <f t="shared" si="13"/>
        <v>1921</v>
      </c>
      <c r="K15" s="5">
        <f>+K11-K14</f>
        <v>2083</v>
      </c>
      <c r="L15" s="5">
        <f t="shared" ref="L15:N15" si="14">+L11-L14</f>
        <v>2075</v>
      </c>
      <c r="M15" s="5">
        <f t="shared" si="14"/>
        <v>0</v>
      </c>
      <c r="N15" s="5">
        <f t="shared" si="14"/>
        <v>0</v>
      </c>
      <c r="O15" s="5"/>
      <c r="P15" s="5"/>
      <c r="Q15" s="5">
        <f t="shared" ref="Q15:Z15" si="15">+Q11-Q14</f>
        <v>4543</v>
      </c>
      <c r="R15" s="5">
        <f t="shared" si="15"/>
        <v>5672</v>
      </c>
      <c r="S15" s="5">
        <f t="shared" si="15"/>
        <v>7050</v>
      </c>
      <c r="T15" s="5">
        <f t="shared" si="15"/>
        <v>8783.2991249999995</v>
      </c>
      <c r="U15" s="5">
        <f t="shared" si="15"/>
        <v>10834.253540624999</v>
      </c>
      <c r="V15" s="5">
        <f t="shared" si="15"/>
        <v>13382.885247890623</v>
      </c>
      <c r="W15" s="5">
        <f t="shared" si="15"/>
        <v>16551.521103931642</v>
      </c>
      <c r="X15" s="5">
        <f t="shared" si="15"/>
        <v>20492.759978576803</v>
      </c>
      <c r="Y15" s="5">
        <f t="shared" si="15"/>
        <v>25396.994406490834</v>
      </c>
      <c r="Z15" s="5">
        <f t="shared" si="15"/>
        <v>31501.805702302285</v>
      </c>
    </row>
    <row r="16" spans="1:29" x14ac:dyDescent="0.25">
      <c r="B16" s="1" t="s">
        <v>26</v>
      </c>
      <c r="C16" s="5">
        <v>673</v>
      </c>
      <c r="D16" s="5">
        <v>722</v>
      </c>
      <c r="E16" s="5">
        <v>697</v>
      </c>
      <c r="F16" s="5">
        <v>722</v>
      </c>
      <c r="G16" s="5">
        <v>823</v>
      </c>
      <c r="H16" s="5">
        <v>832</v>
      </c>
      <c r="I16" s="5">
        <v>799</v>
      </c>
      <c r="J16" s="5">
        <v>847</v>
      </c>
      <c r="K16" s="5">
        <v>923</v>
      </c>
      <c r="L16" s="5">
        <v>960</v>
      </c>
      <c r="M16" s="5"/>
      <c r="N16" s="5"/>
      <c r="O16" s="5"/>
      <c r="P16" s="5"/>
      <c r="Q16" s="5">
        <v>2292</v>
      </c>
      <c r="R16" s="5">
        <v>2814</v>
      </c>
      <c r="S16" s="5">
        <v>3301</v>
      </c>
      <c r="T16" s="5">
        <f>+T11*0.35</f>
        <v>3866.8612499999995</v>
      </c>
      <c r="U16" s="5">
        <f>+U11*0.34</f>
        <v>4633.5172375000002</v>
      </c>
      <c r="V16" s="5">
        <f>+V11*0.33</f>
        <v>5555.1599142187497</v>
      </c>
      <c r="W16" s="5">
        <f>+W11*0.32</f>
        <v>6662.2474883750001</v>
      </c>
      <c r="X16" s="5">
        <f>+X11*0.31</f>
        <v>7990.8875388161123</v>
      </c>
      <c r="Y16" s="5">
        <f>+Y11*0.3</f>
        <v>9583.7714741474847</v>
      </c>
      <c r="Z16" s="5">
        <f t="shared" ref="Z16" si="16">+Z11*0.3</f>
        <v>11887.473849925391</v>
      </c>
    </row>
    <row r="17" spans="2:67" x14ac:dyDescent="0.25">
      <c r="B17" s="1" t="s">
        <v>27</v>
      </c>
      <c r="C17" s="5">
        <v>414</v>
      </c>
      <c r="D17" s="5">
        <v>444</v>
      </c>
      <c r="E17" s="5">
        <v>456</v>
      </c>
      <c r="F17" s="5">
        <v>454</v>
      </c>
      <c r="G17" s="5">
        <v>492</v>
      </c>
      <c r="H17" s="5">
        <v>521</v>
      </c>
      <c r="I17" s="5">
        <v>549</v>
      </c>
      <c r="J17" s="5">
        <v>562</v>
      </c>
      <c r="K17" s="5">
        <v>606</v>
      </c>
      <c r="L17" s="5">
        <v>643</v>
      </c>
      <c r="M17" s="5"/>
      <c r="N17" s="5"/>
      <c r="O17" s="5"/>
      <c r="P17" s="5"/>
      <c r="Q17" s="5">
        <v>1397</v>
      </c>
      <c r="R17" s="5">
        <v>1768</v>
      </c>
      <c r="S17" s="5">
        <v>2124</v>
      </c>
      <c r="T17" s="5">
        <f>+T11*0.23</f>
        <v>2541.08025</v>
      </c>
      <c r="U17" s="5">
        <f>+U11*0.22</f>
        <v>2998.1582125</v>
      </c>
      <c r="V17" s="5">
        <f>+V11*0.21</f>
        <v>3535.1017635937492</v>
      </c>
      <c r="W17" s="5">
        <f>+W11*0.205</f>
        <v>4268.0022972402339</v>
      </c>
      <c r="X17" s="5">
        <f>+X11*0.2</f>
        <v>5155.4113153652343</v>
      </c>
      <c r="Y17" s="5">
        <f t="shared" ref="Y17:Z17" si="17">+Y11*0.2</f>
        <v>6389.1809827649904</v>
      </c>
      <c r="Z17" s="5">
        <f t="shared" si="17"/>
        <v>7924.9825666169272</v>
      </c>
    </row>
    <row r="18" spans="2:67" x14ac:dyDescent="0.25">
      <c r="B18" s="1" t="s">
        <v>28</v>
      </c>
      <c r="C18" s="5">
        <v>179</v>
      </c>
      <c r="D18" s="5">
        <v>175</v>
      </c>
      <c r="E18" s="5">
        <v>187</v>
      </c>
      <c r="F18" s="5">
        <v>194</v>
      </c>
      <c r="G18" s="5">
        <v>199</v>
      </c>
      <c r="H18" s="5">
        <v>209</v>
      </c>
      <c r="I18" s="5">
        <v>213</v>
      </c>
      <c r="J18" s="5">
        <v>242</v>
      </c>
      <c r="K18" s="5">
        <v>222</v>
      </c>
      <c r="L18" s="5">
        <v>232</v>
      </c>
      <c r="M18" s="5"/>
      <c r="N18" s="5"/>
      <c r="O18" s="5"/>
      <c r="P18" s="5"/>
      <c r="Q18" s="5">
        <v>597</v>
      </c>
      <c r="R18" s="5">
        <v>735</v>
      </c>
      <c r="S18" s="5">
        <v>863</v>
      </c>
      <c r="T18" s="5">
        <f>+T11*0.11</f>
        <v>1215.29925</v>
      </c>
      <c r="U18" s="5">
        <f>+U11*0.105</f>
        <v>1430.939146875</v>
      </c>
      <c r="V18" s="5">
        <f>+V11*0.1</f>
        <v>1683.3817921874997</v>
      </c>
      <c r="W18" s="5">
        <f>+W11*0.095</f>
        <v>1977.8547231113282</v>
      </c>
      <c r="X18" s="5">
        <f t="shared" ref="X18:Y18" si="18">+X11*0.095</f>
        <v>2448.8203747984862</v>
      </c>
      <c r="Y18" s="5">
        <f t="shared" si="18"/>
        <v>3034.8609668133704</v>
      </c>
      <c r="Z18" s="5">
        <f>+Z11*0.09</f>
        <v>3566.2421549776172</v>
      </c>
    </row>
    <row r="19" spans="2:67" x14ac:dyDescent="0.25">
      <c r="B19" s="1" t="s">
        <v>29</v>
      </c>
      <c r="C19" s="5">
        <f t="shared" ref="C19:J19" si="19">+C16+C17+C18</f>
        <v>1266</v>
      </c>
      <c r="D19" s="5">
        <f t="shared" si="19"/>
        <v>1341</v>
      </c>
      <c r="E19" s="5">
        <f t="shared" si="19"/>
        <v>1340</v>
      </c>
      <c r="F19" s="5">
        <f t="shared" si="19"/>
        <v>1370</v>
      </c>
      <c r="G19" s="5">
        <f t="shared" si="19"/>
        <v>1514</v>
      </c>
      <c r="H19" s="5">
        <f t="shared" si="19"/>
        <v>1562</v>
      </c>
      <c r="I19" s="5">
        <f t="shared" si="19"/>
        <v>1561</v>
      </c>
      <c r="J19" s="5">
        <f t="shared" si="19"/>
        <v>1651</v>
      </c>
      <c r="K19" s="5">
        <f>+K16+K17+K18</f>
        <v>1751</v>
      </c>
      <c r="L19" s="5">
        <f t="shared" ref="L19:N19" si="20">+L16+L17+L18</f>
        <v>1835</v>
      </c>
      <c r="M19" s="5">
        <f t="shared" si="20"/>
        <v>0</v>
      </c>
      <c r="N19" s="5">
        <f t="shared" si="20"/>
        <v>0</v>
      </c>
      <c r="O19" s="5"/>
      <c r="P19" s="5"/>
      <c r="Q19" s="5">
        <f t="shared" ref="Q19:Z19" si="21">+Q16+Q17+Q18</f>
        <v>4286</v>
      </c>
      <c r="R19" s="5">
        <f t="shared" si="21"/>
        <v>5317</v>
      </c>
      <c r="S19" s="5">
        <f t="shared" si="21"/>
        <v>6288</v>
      </c>
      <c r="T19" s="5">
        <f t="shared" si="21"/>
        <v>7623.240749999999</v>
      </c>
      <c r="U19" s="5">
        <f t="shared" si="21"/>
        <v>9062.6145968750006</v>
      </c>
      <c r="V19" s="5">
        <f t="shared" si="21"/>
        <v>10773.643469999999</v>
      </c>
      <c r="W19" s="5">
        <f t="shared" si="21"/>
        <v>12908.104508726561</v>
      </c>
      <c r="X19" s="5">
        <f t="shared" si="21"/>
        <v>15595.119228979833</v>
      </c>
      <c r="Y19" s="5">
        <f t="shared" si="21"/>
        <v>19007.813423725845</v>
      </c>
      <c r="Z19" s="5">
        <f t="shared" si="21"/>
        <v>23378.698571519933</v>
      </c>
    </row>
    <row r="20" spans="2:67" x14ac:dyDescent="0.25">
      <c r="B20" s="2" t="s">
        <v>30</v>
      </c>
      <c r="C20" s="6">
        <f t="shared" ref="C20:F20" si="22">+C15-C19</f>
        <v>87</v>
      </c>
      <c r="D20" s="6">
        <f t="shared" si="22"/>
        <v>22</v>
      </c>
      <c r="E20" s="6">
        <f t="shared" si="22"/>
        <v>91</v>
      </c>
      <c r="F20" s="6">
        <f t="shared" si="22"/>
        <v>155</v>
      </c>
      <c r="G20" s="6">
        <f>+G15-G19</f>
        <v>144</v>
      </c>
      <c r="H20" s="6">
        <f t="shared" ref="H20:K20" si="23">+H15-H19</f>
        <v>117</v>
      </c>
      <c r="I20" s="6">
        <f t="shared" si="23"/>
        <v>231</v>
      </c>
      <c r="J20" s="6">
        <f t="shared" si="23"/>
        <v>270</v>
      </c>
      <c r="K20" s="6">
        <f t="shared" si="23"/>
        <v>332</v>
      </c>
      <c r="L20" s="6">
        <f t="shared" ref="L20" si="24">+L15-L19</f>
        <v>240</v>
      </c>
      <c r="M20" s="6">
        <f t="shared" ref="M20" si="25">+M15-M19</f>
        <v>0</v>
      </c>
      <c r="N20" s="6">
        <f t="shared" ref="N20" si="26">+N15-N19</f>
        <v>0</v>
      </c>
      <c r="O20" s="5"/>
      <c r="P20" s="5"/>
      <c r="Q20" s="6">
        <f t="shared" ref="Q20:Z20" si="27">+Q15-Q19</f>
        <v>257</v>
      </c>
      <c r="R20" s="6">
        <f t="shared" si="27"/>
        <v>355</v>
      </c>
      <c r="S20" s="6">
        <f t="shared" si="27"/>
        <v>762</v>
      </c>
      <c r="T20" s="6">
        <f t="shared" si="27"/>
        <v>1160.0583750000005</v>
      </c>
      <c r="U20" s="6">
        <f t="shared" si="27"/>
        <v>1771.6389437499984</v>
      </c>
      <c r="V20" s="6">
        <f t="shared" si="27"/>
        <v>2609.2417778906238</v>
      </c>
      <c r="W20" s="6">
        <f t="shared" si="27"/>
        <v>3643.4165952050807</v>
      </c>
      <c r="X20" s="6">
        <f t="shared" si="27"/>
        <v>4897.6407495969706</v>
      </c>
      <c r="Y20" s="6">
        <f t="shared" si="27"/>
        <v>6389.1809827649886</v>
      </c>
      <c r="Z20" s="6">
        <f t="shared" si="27"/>
        <v>8123.1071307823513</v>
      </c>
    </row>
    <row r="21" spans="2:67" x14ac:dyDescent="0.25">
      <c r="B21" s="1" t="s">
        <v>31</v>
      </c>
      <c r="C21" s="5">
        <v>-6</v>
      </c>
      <c r="D21" s="5">
        <v>-6</v>
      </c>
      <c r="E21" s="5">
        <v>26</v>
      </c>
      <c r="F21" s="5">
        <v>39</v>
      </c>
      <c r="G21" s="5">
        <v>60</v>
      </c>
      <c r="H21" s="5">
        <v>74</v>
      </c>
      <c r="I21" s="5">
        <v>82</v>
      </c>
      <c r="J21" s="5">
        <v>86</v>
      </c>
      <c r="K21" s="5">
        <v>101</v>
      </c>
      <c r="L21" s="5">
        <v>104</v>
      </c>
      <c r="M21" s="5"/>
      <c r="N21" s="5"/>
      <c r="O21" s="5"/>
      <c r="P21" s="5"/>
      <c r="Q21" s="5">
        <v>20</v>
      </c>
      <c r="R21" s="5">
        <v>82</v>
      </c>
      <c r="S21" s="5">
        <v>302</v>
      </c>
      <c r="T21" s="5">
        <f>+L50*AC4</f>
        <v>369.85</v>
      </c>
      <c r="U21" s="5">
        <f>+T50*$AC$4</f>
        <v>430.2813808125</v>
      </c>
      <c r="V21" s="5">
        <f t="shared" ref="V21:Z21" si="28">+U50*$AC$4</f>
        <v>517.25723363271868</v>
      </c>
      <c r="W21" s="5">
        <f t="shared" si="28"/>
        <v>640.75394458789071</v>
      </c>
      <c r="X21" s="5">
        <f t="shared" si="28"/>
        <v>809.97868090971315</v>
      </c>
      <c r="Y21" s="5">
        <f t="shared" si="28"/>
        <v>1035.4296484147271</v>
      </c>
      <c r="Z21" s="5">
        <f t="shared" si="28"/>
        <v>1328.7017683463259</v>
      </c>
    </row>
    <row r="22" spans="2:67" x14ac:dyDescent="0.25">
      <c r="B22" s="1" t="s">
        <v>32</v>
      </c>
      <c r="C22" s="5">
        <v>4</v>
      </c>
      <c r="D22" s="5">
        <v>13</v>
      </c>
      <c r="E22" s="5">
        <v>-15</v>
      </c>
      <c r="F22" s="5">
        <v>-11</v>
      </c>
      <c r="G22" s="5">
        <v>-16</v>
      </c>
      <c r="H22" s="5">
        <v>-17</v>
      </c>
      <c r="I22" s="5">
        <v>-14</v>
      </c>
      <c r="J22" s="5">
        <v>-9</v>
      </c>
      <c r="K22" s="5">
        <v>-8</v>
      </c>
      <c r="L22" s="5">
        <v>-10</v>
      </c>
      <c r="M22" s="5"/>
      <c r="N22" s="5"/>
      <c r="O22" s="5"/>
      <c r="P22" s="5"/>
      <c r="Q22" s="5">
        <v>-28</v>
      </c>
      <c r="R22" s="5">
        <v>-38</v>
      </c>
      <c r="S22" s="5">
        <v>-56</v>
      </c>
      <c r="T22" s="5"/>
      <c r="U22" s="5"/>
      <c r="V22" s="5"/>
      <c r="W22" s="5"/>
      <c r="X22" s="5"/>
      <c r="Y22" s="5"/>
      <c r="Z22" s="5"/>
    </row>
    <row r="23" spans="2:67" x14ac:dyDescent="0.25">
      <c r="B23" s="1" t="s">
        <v>33</v>
      </c>
      <c r="C23" s="5">
        <f t="shared" ref="C23:J23" si="29">+C20+C21+C22</f>
        <v>85</v>
      </c>
      <c r="D23" s="5">
        <f t="shared" si="29"/>
        <v>29</v>
      </c>
      <c r="E23" s="5">
        <f t="shared" si="29"/>
        <v>102</v>
      </c>
      <c r="F23" s="5">
        <f t="shared" si="29"/>
        <v>183</v>
      </c>
      <c r="G23" s="5">
        <f t="shared" si="29"/>
        <v>188</v>
      </c>
      <c r="H23" s="5">
        <f t="shared" si="29"/>
        <v>174</v>
      </c>
      <c r="I23" s="5">
        <f t="shared" si="29"/>
        <v>299</v>
      </c>
      <c r="J23" s="5">
        <f t="shared" si="29"/>
        <v>347</v>
      </c>
      <c r="K23" s="5">
        <f>+K20+K21+K22</f>
        <v>425</v>
      </c>
      <c r="L23" s="5">
        <f t="shared" ref="L23:N23" si="30">+L20+L21+L22</f>
        <v>334</v>
      </c>
      <c r="M23" s="5">
        <f t="shared" si="30"/>
        <v>0</v>
      </c>
      <c r="N23" s="5">
        <f t="shared" si="30"/>
        <v>0</v>
      </c>
      <c r="O23" s="5"/>
      <c r="P23" s="5"/>
      <c r="Q23" s="5">
        <f t="shared" ref="Q23:Z23" si="31">+Q20+Q21+Q22</f>
        <v>249</v>
      </c>
      <c r="R23" s="5">
        <f t="shared" si="31"/>
        <v>399</v>
      </c>
      <c r="S23" s="5">
        <f t="shared" si="31"/>
        <v>1008</v>
      </c>
      <c r="T23" s="5">
        <f t="shared" si="31"/>
        <v>1529.9083750000004</v>
      </c>
      <c r="U23" s="5">
        <f t="shared" si="31"/>
        <v>2201.9203245624985</v>
      </c>
      <c r="V23" s="5">
        <f t="shared" si="31"/>
        <v>3126.4990115233422</v>
      </c>
      <c r="W23" s="5">
        <f t="shared" si="31"/>
        <v>4284.1705397929718</v>
      </c>
      <c r="X23" s="5">
        <f t="shared" si="31"/>
        <v>5707.6194305066838</v>
      </c>
      <c r="Y23" s="5">
        <f t="shared" si="31"/>
        <v>7424.6106311797157</v>
      </c>
      <c r="Z23" s="5">
        <f t="shared" si="31"/>
        <v>9451.8088991286768</v>
      </c>
    </row>
    <row r="24" spans="2:67" x14ac:dyDescent="0.25">
      <c r="B24" s="1" t="s">
        <v>34</v>
      </c>
      <c r="C24" s="5">
        <v>10</v>
      </c>
      <c r="D24" s="5">
        <v>9</v>
      </c>
      <c r="E24" s="5">
        <v>22</v>
      </c>
      <c r="F24" s="5">
        <v>33</v>
      </c>
      <c r="G24" s="5">
        <v>38</v>
      </c>
      <c r="H24" s="5">
        <v>870</v>
      </c>
      <c r="I24" s="5">
        <v>57</v>
      </c>
      <c r="J24" s="5">
        <v>52</v>
      </c>
      <c r="K24" s="5">
        <v>78</v>
      </c>
      <c r="L24" s="5">
        <v>72</v>
      </c>
      <c r="M24" s="5"/>
      <c r="N24" s="5"/>
      <c r="O24" s="5"/>
      <c r="P24" s="5"/>
      <c r="Q24" s="5">
        <v>19</v>
      </c>
      <c r="R24" s="5">
        <v>74</v>
      </c>
      <c r="S24" s="5">
        <v>-723</v>
      </c>
      <c r="T24" s="5">
        <f>+T23*0.21</f>
        <v>321.28075875000007</v>
      </c>
      <c r="U24" s="5">
        <f t="shared" ref="U24:Z24" si="32">+U23*0.21</f>
        <v>462.40326815812466</v>
      </c>
      <c r="V24" s="5">
        <f t="shared" si="32"/>
        <v>656.56479241990189</v>
      </c>
      <c r="W24" s="5">
        <f t="shared" si="32"/>
        <v>899.67581335652403</v>
      </c>
      <c r="X24" s="5">
        <f t="shared" si="32"/>
        <v>1198.6000804064035</v>
      </c>
      <c r="Y24" s="5">
        <f t="shared" si="32"/>
        <v>1559.1682325477402</v>
      </c>
      <c r="Z24" s="5">
        <f t="shared" si="32"/>
        <v>1984.879868817022</v>
      </c>
    </row>
    <row r="25" spans="2:67" x14ac:dyDescent="0.25">
      <c r="B25" s="2" t="s">
        <v>35</v>
      </c>
      <c r="C25" s="6">
        <f t="shared" ref="C25:J25" si="33">+C23-C24</f>
        <v>75</v>
      </c>
      <c r="D25" s="6">
        <f t="shared" si="33"/>
        <v>20</v>
      </c>
      <c r="E25" s="6">
        <f t="shared" si="33"/>
        <v>80</v>
      </c>
      <c r="F25" s="6">
        <f t="shared" si="33"/>
        <v>150</v>
      </c>
      <c r="G25" s="6">
        <f t="shared" si="33"/>
        <v>150</v>
      </c>
      <c r="H25" s="6">
        <f t="shared" si="33"/>
        <v>-696</v>
      </c>
      <c r="I25" s="6">
        <f t="shared" si="33"/>
        <v>242</v>
      </c>
      <c r="J25" s="6">
        <f t="shared" si="33"/>
        <v>295</v>
      </c>
      <c r="K25" s="6">
        <f>+K23-K24</f>
        <v>347</v>
      </c>
      <c r="L25" s="6">
        <f t="shared" ref="L25:N25" si="34">+L23-L24</f>
        <v>262</v>
      </c>
      <c r="M25" s="6">
        <f t="shared" si="34"/>
        <v>0</v>
      </c>
      <c r="N25" s="6">
        <f t="shared" si="34"/>
        <v>0</v>
      </c>
      <c r="O25" s="6"/>
      <c r="P25" s="6"/>
      <c r="Q25" s="6">
        <f t="shared" ref="Q25:Z25" si="35">+Q23-Q24</f>
        <v>230</v>
      </c>
      <c r="R25" s="6">
        <f t="shared" si="35"/>
        <v>325</v>
      </c>
      <c r="S25" s="6">
        <f t="shared" si="35"/>
        <v>1731</v>
      </c>
      <c r="T25" s="6">
        <f t="shared" si="35"/>
        <v>1208.6276162500003</v>
      </c>
      <c r="U25" s="6">
        <f t="shared" si="35"/>
        <v>1739.5170564043738</v>
      </c>
      <c r="V25" s="6">
        <f t="shared" si="35"/>
        <v>2469.9342191034402</v>
      </c>
      <c r="W25" s="6">
        <f t="shared" si="35"/>
        <v>3384.4947264364478</v>
      </c>
      <c r="X25" s="6">
        <f t="shared" si="35"/>
        <v>4509.0193501002805</v>
      </c>
      <c r="Y25" s="6">
        <f t="shared" si="35"/>
        <v>5865.4423986319753</v>
      </c>
      <c r="Z25" s="6">
        <f t="shared" si="35"/>
        <v>7466.929030311655</v>
      </c>
      <c r="AA25" s="6">
        <f>+Z25*(1+$AC$3)</f>
        <v>7690.9369012210045</v>
      </c>
      <c r="AB25" s="6">
        <f t="shared" ref="AB25:BO25" si="36">+AA25*(1+$AC$3)</f>
        <v>7921.6650082576352</v>
      </c>
      <c r="AC25" s="6">
        <f t="shared" si="36"/>
        <v>8159.3149585053643</v>
      </c>
      <c r="AD25" s="6">
        <f t="shared" si="36"/>
        <v>8404.0944072605253</v>
      </c>
      <c r="AE25" s="6">
        <f t="shared" si="36"/>
        <v>8656.2172394783411</v>
      </c>
      <c r="AF25" s="6">
        <f t="shared" si="36"/>
        <v>8915.9037566626921</v>
      </c>
      <c r="AG25" s="6">
        <f t="shared" si="36"/>
        <v>9183.3808693625724</v>
      </c>
      <c r="AH25" s="6">
        <f t="shared" si="36"/>
        <v>9458.882295443449</v>
      </c>
      <c r="AI25" s="6">
        <f t="shared" si="36"/>
        <v>9742.6487643067521</v>
      </c>
      <c r="AJ25" s="6">
        <f t="shared" si="36"/>
        <v>10034.928227235954</v>
      </c>
      <c r="AK25" s="6">
        <f t="shared" si="36"/>
        <v>10335.976074053033</v>
      </c>
      <c r="AL25" s="6">
        <f t="shared" si="36"/>
        <v>10646.055356274625</v>
      </c>
      <c r="AM25" s="6">
        <f t="shared" si="36"/>
        <v>10965.437016962864</v>
      </c>
      <c r="AN25" s="6">
        <f t="shared" si="36"/>
        <v>11294.40012747175</v>
      </c>
      <c r="AO25" s="6">
        <f t="shared" si="36"/>
        <v>11633.232131295903</v>
      </c>
      <c r="AP25" s="6">
        <f t="shared" si="36"/>
        <v>11982.229095234781</v>
      </c>
      <c r="AQ25" s="6">
        <f t="shared" si="36"/>
        <v>12341.695968091824</v>
      </c>
      <c r="AR25" s="6">
        <f t="shared" si="36"/>
        <v>12711.946847134579</v>
      </c>
      <c r="AS25" s="6">
        <f t="shared" si="36"/>
        <v>13093.305252548616</v>
      </c>
      <c r="AT25" s="6">
        <f t="shared" si="36"/>
        <v>13486.104410125075</v>
      </c>
      <c r="AU25" s="6">
        <f t="shared" si="36"/>
        <v>13890.687542428828</v>
      </c>
      <c r="AV25" s="6">
        <f t="shared" si="36"/>
        <v>14307.408168701693</v>
      </c>
      <c r="AW25" s="6">
        <f t="shared" si="36"/>
        <v>14736.630413762745</v>
      </c>
      <c r="AX25" s="6">
        <f t="shared" si="36"/>
        <v>15178.729326175628</v>
      </c>
      <c r="AY25" s="6">
        <f t="shared" si="36"/>
        <v>15634.091205960896</v>
      </c>
      <c r="AZ25" s="6">
        <f t="shared" si="36"/>
        <v>16103.113942139724</v>
      </c>
      <c r="BA25" s="6">
        <f t="shared" si="36"/>
        <v>16586.207360403914</v>
      </c>
      <c r="BB25" s="6">
        <f t="shared" si="36"/>
        <v>17083.793581216032</v>
      </c>
      <c r="BC25" s="6">
        <f t="shared" si="36"/>
        <v>17596.307388652513</v>
      </c>
      <c r="BD25" s="6">
        <f t="shared" si="36"/>
        <v>18124.196610312087</v>
      </c>
      <c r="BE25" s="6">
        <f t="shared" si="36"/>
        <v>18667.92250862145</v>
      </c>
      <c r="BF25" s="6">
        <f t="shared" si="36"/>
        <v>19227.960183880095</v>
      </c>
      <c r="BG25" s="6">
        <f t="shared" si="36"/>
        <v>19804.798989396499</v>
      </c>
      <c r="BH25" s="6">
        <f t="shared" si="36"/>
        <v>20398.942959078395</v>
      </c>
      <c r="BI25" s="6">
        <f t="shared" si="36"/>
        <v>21010.911247850749</v>
      </c>
      <c r="BJ25" s="6">
        <f t="shared" si="36"/>
        <v>21641.238585286272</v>
      </c>
      <c r="BK25" s="6">
        <f t="shared" si="36"/>
        <v>22290.475742844861</v>
      </c>
      <c r="BL25" s="6">
        <f t="shared" si="36"/>
        <v>22959.190015130207</v>
      </c>
      <c r="BM25" s="6">
        <f t="shared" si="36"/>
        <v>23647.965715584112</v>
      </c>
      <c r="BN25" s="6">
        <f t="shared" si="36"/>
        <v>24357.404687051636</v>
      </c>
      <c r="BO25" s="6">
        <f t="shared" si="36"/>
        <v>25088.126827663185</v>
      </c>
    </row>
    <row r="26" spans="2:67" x14ac:dyDescent="0.25">
      <c r="B26" s="1" t="s">
        <v>36</v>
      </c>
      <c r="C26" s="5">
        <v>202.8</v>
      </c>
      <c r="D26" s="5">
        <v>203.018</v>
      </c>
      <c r="E26" s="5">
        <v>203.12100000000001</v>
      </c>
      <c r="F26" s="5">
        <v>203</v>
      </c>
      <c r="G26" s="5">
        <v>204</v>
      </c>
      <c r="H26" s="5">
        <v>205.351</v>
      </c>
      <c r="I26" s="5">
        <v>206.464</v>
      </c>
      <c r="J26" s="5">
        <v>207</v>
      </c>
      <c r="K26" s="5">
        <v>207</v>
      </c>
      <c r="L26" s="5">
        <v>207.79900000000001</v>
      </c>
      <c r="M26" s="5"/>
      <c r="N26" s="5"/>
      <c r="O26" s="5"/>
      <c r="P26" s="5"/>
      <c r="Q26" s="5">
        <v>203.167</v>
      </c>
      <c r="R26" s="5">
        <v>203.535</v>
      </c>
      <c r="S26" s="5">
        <v>205.59100000000001</v>
      </c>
      <c r="T26" s="5"/>
      <c r="U26" s="5"/>
      <c r="V26" s="5"/>
      <c r="W26" s="5"/>
      <c r="X26" s="5"/>
      <c r="Y26" s="5"/>
      <c r="Z26" s="5"/>
    </row>
    <row r="27" spans="2:67" x14ac:dyDescent="0.25">
      <c r="B27" s="1" t="s">
        <v>37</v>
      </c>
      <c r="C27" s="3">
        <f t="shared" ref="C27:J27" si="37">+C25/C26</f>
        <v>0.36982248520710059</v>
      </c>
      <c r="D27" s="3">
        <f t="shared" si="37"/>
        <v>9.8513432306494994E-2</v>
      </c>
      <c r="E27" s="3">
        <f t="shared" si="37"/>
        <v>0.39385390973853024</v>
      </c>
      <c r="F27" s="3">
        <f t="shared" si="37"/>
        <v>0.73891625615763545</v>
      </c>
      <c r="G27" s="3">
        <f t="shared" si="37"/>
        <v>0.73529411764705888</v>
      </c>
      <c r="H27" s="3">
        <f t="shared" si="37"/>
        <v>-3.3893187761442602</v>
      </c>
      <c r="I27" s="3">
        <f t="shared" si="37"/>
        <v>1.1721171729696218</v>
      </c>
      <c r="J27" s="3">
        <f t="shared" si="37"/>
        <v>1.4251207729468598</v>
      </c>
      <c r="K27" s="3">
        <f>+K25/K26</f>
        <v>1.6763285024154588</v>
      </c>
      <c r="L27" s="3">
        <f t="shared" ref="L27:N27" si="38">+L25/L26</f>
        <v>1.2608337864956038</v>
      </c>
      <c r="M27" s="3" t="e">
        <f t="shared" si="38"/>
        <v>#DIV/0!</v>
      </c>
      <c r="N27" s="3" t="e">
        <f t="shared" si="38"/>
        <v>#DIV/0!</v>
      </c>
      <c r="Q27" s="3">
        <f t="shared" ref="Q27:Z27" si="39">+Q25/Q26</f>
        <v>1.1320736143172858</v>
      </c>
      <c r="R27" s="3">
        <f t="shared" si="39"/>
        <v>1.5967769671063945</v>
      </c>
      <c r="S27" s="3">
        <f t="shared" si="39"/>
        <v>8.4196292639269217</v>
      </c>
      <c r="T27" s="3" t="e">
        <f t="shared" si="39"/>
        <v>#DIV/0!</v>
      </c>
      <c r="U27" s="3" t="e">
        <f t="shared" si="39"/>
        <v>#DIV/0!</v>
      </c>
      <c r="V27" s="3" t="e">
        <f t="shared" si="39"/>
        <v>#DIV/0!</v>
      </c>
      <c r="W27" s="3" t="e">
        <f t="shared" si="39"/>
        <v>#DIV/0!</v>
      </c>
      <c r="X27" s="3" t="e">
        <f t="shared" si="39"/>
        <v>#DIV/0!</v>
      </c>
      <c r="Y27" s="3" t="e">
        <f t="shared" si="39"/>
        <v>#DIV/0!</v>
      </c>
      <c r="Z27" s="3" t="e">
        <f t="shared" si="39"/>
        <v>#DIV/0!</v>
      </c>
    </row>
    <row r="29" spans="2:67" x14ac:dyDescent="0.25">
      <c r="B29" s="1" t="s">
        <v>75</v>
      </c>
      <c r="H29" s="10"/>
      <c r="I29" s="10"/>
      <c r="J29" s="10"/>
      <c r="K29" s="10">
        <f t="shared" ref="K29:K31" si="40">+K2/G2-1</f>
        <v>0.21800595238095233</v>
      </c>
      <c r="L29" s="10">
        <f>+L2/H2-1</f>
        <v>0.21621621621621623</v>
      </c>
      <c r="R29" s="10">
        <f t="shared" ref="R29" si="41">+R2/Q2-1</f>
        <v>0.2587953091684434</v>
      </c>
      <c r="S29" s="10">
        <f>+S2/R2-1</f>
        <v>0.20728350624603009</v>
      </c>
    </row>
    <row r="30" spans="2:67" x14ac:dyDescent="0.25">
      <c r="B30" s="1" t="s">
        <v>76</v>
      </c>
      <c r="H30" s="10"/>
      <c r="I30" s="10"/>
      <c r="J30" s="10"/>
      <c r="K30" s="10">
        <f t="shared" si="40"/>
        <v>0.27067669172932329</v>
      </c>
      <c r="L30" s="10">
        <f t="shared" ref="L30:L31" si="42">+L3/H3-1</f>
        <v>0.20840950639853739</v>
      </c>
      <c r="R30" s="10">
        <f t="shared" ref="R30:S30" si="43">+R3/Q3-1</f>
        <v>0.1463571889103803</v>
      </c>
      <c r="S30" s="10">
        <f t="shared" si="43"/>
        <v>0.29246344206974118</v>
      </c>
    </row>
    <row r="31" spans="2:67" x14ac:dyDescent="0.25">
      <c r="B31" s="1" t="s">
        <v>77</v>
      </c>
      <c r="H31" s="10"/>
      <c r="I31" s="10"/>
      <c r="J31" s="10"/>
      <c r="K31" s="10">
        <f t="shared" si="40"/>
        <v>0.31818181818181812</v>
      </c>
      <c r="L31" s="10">
        <f t="shared" si="42"/>
        <v>0.28632478632478642</v>
      </c>
      <c r="R31" s="10">
        <f t="shared" ref="R31:S31" si="44">+R4/Q4-1</f>
        <v>0.25463743676222594</v>
      </c>
      <c r="S31" s="10">
        <f t="shared" si="44"/>
        <v>0.30510752688172049</v>
      </c>
    </row>
    <row r="32" spans="2:67" x14ac:dyDescent="0.25">
      <c r="B32" s="1" t="s">
        <v>78</v>
      </c>
      <c r="H32" s="10"/>
      <c r="I32" s="10"/>
      <c r="J32" s="10"/>
      <c r="K32" s="10">
        <f t="shared" ref="K32:K33" si="45">+K6/G6-1</f>
        <v>0.24636871508379898</v>
      </c>
      <c r="L32" s="10">
        <f>+L6/H6-1</f>
        <v>0.22440087145969501</v>
      </c>
      <c r="R32" s="10">
        <f t="shared" ref="R32" si="46">+R6/Q6-1</f>
        <v>0.2447767308480131</v>
      </c>
      <c r="S32" s="10">
        <f>+S6/R6-1</f>
        <v>0.26361691624156647</v>
      </c>
      <c r="T32" s="10">
        <f t="shared" ref="T32:Z33" si="47">+T6/S6-1</f>
        <v>0.25</v>
      </c>
      <c r="U32" s="10">
        <f t="shared" si="47"/>
        <v>0.25</v>
      </c>
      <c r="V32" s="10">
        <f t="shared" si="47"/>
        <v>0.25</v>
      </c>
      <c r="W32" s="10">
        <f t="shared" si="47"/>
        <v>0.25</v>
      </c>
      <c r="X32" s="10">
        <f t="shared" si="47"/>
        <v>0.25</v>
      </c>
      <c r="Y32" s="10">
        <f t="shared" si="47"/>
        <v>0.25</v>
      </c>
      <c r="Z32" s="10">
        <f t="shared" si="47"/>
        <v>0.25</v>
      </c>
    </row>
    <row r="33" spans="2:26" x14ac:dyDescent="0.25">
      <c r="B33" s="1" t="s">
        <v>79</v>
      </c>
      <c r="H33" s="10"/>
      <c r="I33" s="10"/>
      <c r="J33" s="10"/>
      <c r="K33" s="10">
        <f t="shared" si="45"/>
        <v>0.24786324786324787</v>
      </c>
      <c r="L33" s="10">
        <f>+L7/H7-1</f>
        <v>0.23012552301255229</v>
      </c>
      <c r="R33" s="10">
        <f t="shared" ref="R33:S33" si="48">+R7/Q7-1</f>
        <v>0.17800289435600569</v>
      </c>
      <c r="S33" s="10">
        <f t="shared" si="48"/>
        <v>0.22972972972972983</v>
      </c>
      <c r="T33" s="10">
        <f t="shared" si="47"/>
        <v>0.14999999999999991</v>
      </c>
      <c r="U33" s="10">
        <f t="shared" si="47"/>
        <v>0.14999999999999991</v>
      </c>
      <c r="V33" s="10">
        <f t="shared" si="47"/>
        <v>0.14999999999999991</v>
      </c>
      <c r="W33" s="10">
        <f t="shared" si="47"/>
        <v>0.14999999999999991</v>
      </c>
      <c r="X33" s="10">
        <f t="shared" si="47"/>
        <v>0.14999999999999991</v>
      </c>
      <c r="Y33" s="10">
        <f t="shared" si="47"/>
        <v>0.14999999999999991</v>
      </c>
      <c r="Z33" s="10">
        <f t="shared" si="47"/>
        <v>0.14999999999999991</v>
      </c>
    </row>
    <row r="34" spans="2:26" x14ac:dyDescent="0.25">
      <c r="B34" s="1" t="s">
        <v>26</v>
      </c>
      <c r="G34" s="10">
        <f t="shared" ref="G34:K34" si="49">+G16/C16-1</f>
        <v>0.22288261515601793</v>
      </c>
      <c r="H34" s="10">
        <f t="shared" si="49"/>
        <v>0.15235457063711921</v>
      </c>
      <c r="I34" s="10">
        <f t="shared" si="49"/>
        <v>0.14634146341463405</v>
      </c>
      <c r="J34" s="10">
        <f t="shared" si="49"/>
        <v>0.17313019390581719</v>
      </c>
      <c r="K34" s="10">
        <f t="shared" si="49"/>
        <v>0.12150668286755772</v>
      </c>
      <c r="L34" s="10">
        <f>+L16/H16-1</f>
        <v>0.15384615384615374</v>
      </c>
      <c r="R34" s="10">
        <f t="shared" ref="R34" si="50">+R16/Q16-1</f>
        <v>0.22774869109947637</v>
      </c>
      <c r="S34" s="10">
        <f>+S16/R16-1</f>
        <v>0.17306325515280729</v>
      </c>
      <c r="T34" s="10">
        <f t="shared" ref="T34:Z36" si="51">+T16/S16-1</f>
        <v>0.17142116025446819</v>
      </c>
      <c r="U34" s="10">
        <f t="shared" si="51"/>
        <v>0.19826312296568727</v>
      </c>
      <c r="V34" s="10">
        <f t="shared" si="51"/>
        <v>0.19890779066487707</v>
      </c>
      <c r="W34" s="10">
        <f t="shared" si="51"/>
        <v>0.19928995587014442</v>
      </c>
      <c r="X34" s="10">
        <f t="shared" si="51"/>
        <v>0.19942820388456983</v>
      </c>
      <c r="Y34" s="10">
        <f t="shared" si="51"/>
        <v>0.19933754887599964</v>
      </c>
      <c r="Z34" s="10">
        <f t="shared" si="51"/>
        <v>0.24037534513340741</v>
      </c>
    </row>
    <row r="35" spans="2:26" x14ac:dyDescent="0.25">
      <c r="B35" s="1" t="s">
        <v>27</v>
      </c>
      <c r="G35" s="10">
        <f t="shared" ref="G35:L35" si="52">+G17/C17-1</f>
        <v>0.18840579710144922</v>
      </c>
      <c r="H35" s="10">
        <f t="shared" si="52"/>
        <v>0.17342342342342332</v>
      </c>
      <c r="I35" s="10">
        <f t="shared" si="52"/>
        <v>0.20394736842105265</v>
      </c>
      <c r="J35" s="10">
        <f t="shared" si="52"/>
        <v>0.23788546255506615</v>
      </c>
      <c r="K35" s="10">
        <f t="shared" si="52"/>
        <v>0.23170731707317072</v>
      </c>
      <c r="L35" s="10">
        <f t="shared" si="52"/>
        <v>0.23416506717850294</v>
      </c>
      <c r="R35" s="10">
        <f t="shared" ref="R35:S35" si="53">+R17/Q17-1</f>
        <v>0.26556907659269857</v>
      </c>
      <c r="S35" s="10">
        <f t="shared" si="53"/>
        <v>0.20135746606334837</v>
      </c>
      <c r="T35" s="10">
        <f t="shared" si="51"/>
        <v>0.19636546610169492</v>
      </c>
      <c r="U35" s="10">
        <f t="shared" si="51"/>
        <v>0.17987545355956391</v>
      </c>
      <c r="V35" s="10">
        <f t="shared" si="51"/>
        <v>0.17909113296793677</v>
      </c>
      <c r="W35" s="10">
        <f t="shared" si="51"/>
        <v>0.20732091539606068</v>
      </c>
      <c r="X35" s="10">
        <f t="shared" si="51"/>
        <v>0.20792140123701786</v>
      </c>
      <c r="Y35" s="10">
        <f t="shared" si="51"/>
        <v>0.23931546717186625</v>
      </c>
      <c r="Z35" s="10">
        <f t="shared" si="51"/>
        <v>0.24037534513340719</v>
      </c>
    </row>
    <row r="36" spans="2:26" x14ac:dyDescent="0.25">
      <c r="B36" s="1" t="s">
        <v>28</v>
      </c>
      <c r="G36" s="10">
        <f t="shared" ref="G36:L36" si="54">+G18/C18-1</f>
        <v>0.1117318435754191</v>
      </c>
      <c r="H36" s="10">
        <f t="shared" si="54"/>
        <v>0.19428571428571439</v>
      </c>
      <c r="I36" s="10">
        <f t="shared" si="54"/>
        <v>0.1390374331550801</v>
      </c>
      <c r="J36" s="10">
        <f t="shared" si="54"/>
        <v>0.24742268041237114</v>
      </c>
      <c r="K36" s="10">
        <f t="shared" si="54"/>
        <v>0.11557788944723613</v>
      </c>
      <c r="L36" s="10">
        <f t="shared" si="54"/>
        <v>0.11004784688995217</v>
      </c>
      <c r="R36" s="10">
        <f t="shared" ref="R36:S36" si="55">+R18/Q18-1</f>
        <v>0.23115577889447225</v>
      </c>
      <c r="S36" s="10">
        <f t="shared" si="55"/>
        <v>0.17414965986394559</v>
      </c>
      <c r="T36" s="10">
        <f t="shared" si="51"/>
        <v>0.40822624565469301</v>
      </c>
      <c r="U36" s="10">
        <f t="shared" si="51"/>
        <v>0.1774376943579945</v>
      </c>
      <c r="V36" s="10">
        <f t="shared" si="51"/>
        <v>0.17641745692946076</v>
      </c>
      <c r="W36" s="10">
        <f t="shared" si="51"/>
        <v>0.17492937864153246</v>
      </c>
      <c r="X36" s="10">
        <f t="shared" si="51"/>
        <v>0.23811943626794307</v>
      </c>
      <c r="Y36" s="10">
        <f t="shared" si="51"/>
        <v>0.23931546717186625</v>
      </c>
      <c r="Z36" s="10">
        <f t="shared" si="51"/>
        <v>0.17509243223164894</v>
      </c>
    </row>
    <row r="37" spans="2:26" x14ac:dyDescent="0.25">
      <c r="B37" s="2" t="s">
        <v>38</v>
      </c>
      <c r="C37" s="12"/>
      <c r="D37" s="12"/>
      <c r="E37" s="12"/>
      <c r="F37" s="12"/>
      <c r="G37" s="12">
        <f t="shared" ref="G37:L37" si="56">+G11/C11-1</f>
        <v>0.21718931475029035</v>
      </c>
      <c r="H37" s="12">
        <f t="shared" si="56"/>
        <v>0.22716894977168955</v>
      </c>
      <c r="I37" s="12">
        <f t="shared" si="56"/>
        <v>0.24959038776624798</v>
      </c>
      <c r="J37" s="12">
        <f t="shared" si="56"/>
        <v>0.25618556701030926</v>
      </c>
      <c r="K37" s="12">
        <f t="shared" si="56"/>
        <v>0.24188931297709915</v>
      </c>
      <c r="L37" s="12">
        <f t="shared" si="56"/>
        <v>0.22186046511627899</v>
      </c>
      <c r="Q37" s="4"/>
      <c r="R37" s="10">
        <f t="shared" ref="R37:Z37" si="57">+R11/Q11-1</f>
        <v>0.22879918588873815</v>
      </c>
      <c r="S37" s="10">
        <f t="shared" si="57"/>
        <v>0.23823326432022074</v>
      </c>
      <c r="T37" s="4">
        <f t="shared" si="57"/>
        <v>0.23154330620889518</v>
      </c>
      <c r="U37" s="4">
        <f t="shared" si="57"/>
        <v>0.23350615599408964</v>
      </c>
      <c r="V37" s="4">
        <f t="shared" si="57"/>
        <v>0.23523832977593395</v>
      </c>
      <c r="W37" s="4">
        <f t="shared" si="57"/>
        <v>0.23676776699108659</v>
      </c>
      <c r="X37" s="4">
        <f t="shared" si="57"/>
        <v>0.23811943626794307</v>
      </c>
      <c r="Y37" s="4">
        <f t="shared" si="57"/>
        <v>0.23931546717186625</v>
      </c>
      <c r="Z37" s="4">
        <f t="shared" si="57"/>
        <v>0.24037534513340741</v>
      </c>
    </row>
    <row r="38" spans="2:26" x14ac:dyDescent="0.25">
      <c r="C38" s="10"/>
      <c r="D38" s="10"/>
      <c r="E38" s="10"/>
      <c r="F38" s="10"/>
      <c r="G38" s="10"/>
      <c r="H38" s="10"/>
      <c r="I38" s="10"/>
      <c r="J38" s="10"/>
      <c r="K38" s="10"/>
      <c r="L38" s="10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2:26" x14ac:dyDescent="0.25">
      <c r="B39" s="1" t="s">
        <v>39</v>
      </c>
      <c r="C39" s="10"/>
      <c r="D39" s="10"/>
      <c r="E39" s="10">
        <f t="shared" ref="E39:L39" si="58">+E15/E11</f>
        <v>0.78154014199890776</v>
      </c>
      <c r="F39" s="10">
        <f t="shared" si="58"/>
        <v>0.78608247422680411</v>
      </c>
      <c r="G39" s="10">
        <f t="shared" si="58"/>
        <v>0.79103053435114501</v>
      </c>
      <c r="H39" s="10">
        <f t="shared" si="58"/>
        <v>0.78093023255813954</v>
      </c>
      <c r="I39" s="10">
        <f t="shared" si="58"/>
        <v>0.78321678321678323</v>
      </c>
      <c r="J39" s="10">
        <f t="shared" si="58"/>
        <v>0.78826425933524824</v>
      </c>
      <c r="K39" s="10">
        <f t="shared" si="58"/>
        <v>0.80023050326546297</v>
      </c>
      <c r="L39" s="10">
        <f t="shared" si="58"/>
        <v>0.78987438142367716</v>
      </c>
      <c r="Q39" s="10">
        <f t="shared" ref="Q39:Z39" si="59">+Q15/Q11</f>
        <v>0.77052238805970152</v>
      </c>
      <c r="R39" s="10">
        <f t="shared" si="59"/>
        <v>0.78288474810213937</v>
      </c>
      <c r="S39" s="10">
        <f t="shared" si="59"/>
        <v>0.78586556682644071</v>
      </c>
      <c r="T39" s="10">
        <f t="shared" si="59"/>
        <v>0.79500000000000004</v>
      </c>
      <c r="U39" s="10">
        <f t="shared" si="59"/>
        <v>0.79499999999999993</v>
      </c>
      <c r="V39" s="10">
        <f t="shared" si="59"/>
        <v>0.79500000000000004</v>
      </c>
      <c r="W39" s="10">
        <f t="shared" si="59"/>
        <v>0.79500000000000004</v>
      </c>
      <c r="X39" s="10">
        <f t="shared" si="59"/>
        <v>0.79499999999999993</v>
      </c>
      <c r="Y39" s="10">
        <f t="shared" si="59"/>
        <v>0.79499999999999993</v>
      </c>
      <c r="Z39" s="10">
        <f t="shared" si="59"/>
        <v>0.79499999999999993</v>
      </c>
    </row>
    <row r="40" spans="2:26" x14ac:dyDescent="0.25">
      <c r="B40" s="1" t="s">
        <v>41</v>
      </c>
      <c r="C40" s="10"/>
      <c r="D40" s="10"/>
      <c r="E40" s="10">
        <f t="shared" ref="E40:L40" si="60">+E20/E11</f>
        <v>4.9699617695248499E-2</v>
      </c>
      <c r="F40" s="10">
        <f t="shared" si="60"/>
        <v>7.9896907216494839E-2</v>
      </c>
      <c r="G40" s="10">
        <f t="shared" si="60"/>
        <v>6.8702290076335881E-2</v>
      </c>
      <c r="H40" s="10">
        <f t="shared" si="60"/>
        <v>5.4418604651162793E-2</v>
      </c>
      <c r="I40" s="10">
        <f t="shared" si="60"/>
        <v>0.10096153846153846</v>
      </c>
      <c r="J40" s="10">
        <f t="shared" si="60"/>
        <v>0.1107919573245794</v>
      </c>
      <c r="K40" s="10">
        <f t="shared" si="60"/>
        <v>0.12754514022281982</v>
      </c>
      <c r="L40" s="10">
        <f t="shared" si="60"/>
        <v>9.1358964598401218E-2</v>
      </c>
      <c r="Q40" s="10">
        <f t="shared" ref="Q40:Z40" si="61">+Q20/Q11</f>
        <v>4.3588873812754413E-2</v>
      </c>
      <c r="R40" s="10">
        <f t="shared" si="61"/>
        <v>4.8999309868875088E-2</v>
      </c>
      <c r="S40" s="10">
        <f t="shared" si="61"/>
        <v>8.4940363393155721E-2</v>
      </c>
      <c r="T40" s="10">
        <f t="shared" si="61"/>
        <v>0.10500000000000005</v>
      </c>
      <c r="U40" s="10">
        <f t="shared" si="61"/>
        <v>0.12999999999999989</v>
      </c>
      <c r="V40" s="10">
        <f t="shared" si="61"/>
        <v>0.15499999999999994</v>
      </c>
      <c r="W40" s="10">
        <f t="shared" si="61"/>
        <v>0.17500000000000013</v>
      </c>
      <c r="X40" s="10">
        <f t="shared" si="61"/>
        <v>0.18999999999999995</v>
      </c>
      <c r="Y40" s="10">
        <f t="shared" si="61"/>
        <v>0.19999999999999996</v>
      </c>
      <c r="Z40" s="10">
        <f t="shared" si="61"/>
        <v>0.20500000000000002</v>
      </c>
    </row>
    <row r="41" spans="2:26" x14ac:dyDescent="0.25">
      <c r="B41" s="1" t="s">
        <v>40</v>
      </c>
      <c r="C41" s="10"/>
      <c r="D41" s="10"/>
      <c r="E41" s="10">
        <f t="shared" ref="E41:L41" si="62">+E25/E11</f>
        <v>4.3691971600218461E-2</v>
      </c>
      <c r="F41" s="10">
        <f t="shared" si="62"/>
        <v>7.7319587628865982E-2</v>
      </c>
      <c r="G41" s="10">
        <f t="shared" si="62"/>
        <v>7.15648854961832E-2</v>
      </c>
      <c r="H41" s="10">
        <f t="shared" si="62"/>
        <v>-0.32372093023255816</v>
      </c>
      <c r="I41" s="10">
        <f t="shared" si="62"/>
        <v>0.10576923076923077</v>
      </c>
      <c r="J41" s="10">
        <f t="shared" si="62"/>
        <v>0.12105047189167009</v>
      </c>
      <c r="K41" s="10">
        <f t="shared" si="62"/>
        <v>0.13330772185939302</v>
      </c>
      <c r="L41" s="10">
        <f t="shared" si="62"/>
        <v>9.9733536353254659E-2</v>
      </c>
      <c r="Q41" s="10">
        <f t="shared" ref="Q41:Z41" si="63">+Q25/Q11</f>
        <v>3.9009497964721848E-2</v>
      </c>
      <c r="R41" s="10">
        <f t="shared" si="63"/>
        <v>4.4858523119392688E-2</v>
      </c>
      <c r="S41" s="10">
        <f t="shared" si="63"/>
        <v>0.19295507747185375</v>
      </c>
      <c r="T41" s="10">
        <f t="shared" si="63"/>
        <v>0.10939613250604742</v>
      </c>
      <c r="U41" s="10">
        <f t="shared" si="63"/>
        <v>0.12764294786493435</v>
      </c>
      <c r="V41" s="10">
        <f t="shared" si="63"/>
        <v>0.14672454166762974</v>
      </c>
      <c r="W41" s="10">
        <f t="shared" si="63"/>
        <v>0.16256350643674886</v>
      </c>
      <c r="X41" s="10">
        <f t="shared" si="63"/>
        <v>0.17492374804941591</v>
      </c>
      <c r="Y41" s="10">
        <f t="shared" si="63"/>
        <v>0.18360545473525275</v>
      </c>
      <c r="Z41" s="10">
        <f t="shared" si="63"/>
        <v>0.18844026387553786</v>
      </c>
    </row>
    <row r="43" spans="2:26" x14ac:dyDescent="0.25">
      <c r="B43" s="1" t="s">
        <v>42</v>
      </c>
      <c r="C43" s="5">
        <v>863</v>
      </c>
      <c r="D43" s="5">
        <f>1296-C43</f>
        <v>433</v>
      </c>
      <c r="E43" s="5">
        <f>1561-D43-C43</f>
        <v>265</v>
      </c>
      <c r="F43" s="5">
        <v>1162</v>
      </c>
      <c r="G43" s="5">
        <v>902</v>
      </c>
      <c r="H43" s="5">
        <f>1482-G43</f>
        <v>580</v>
      </c>
      <c r="I43" s="5">
        <f>1793-G43-H43</f>
        <v>311</v>
      </c>
      <c r="J43" s="5">
        <v>1605</v>
      </c>
      <c r="K43" s="5">
        <v>1341</v>
      </c>
      <c r="L43" s="5">
        <f>1961-K43</f>
        <v>620</v>
      </c>
      <c r="M43" s="5"/>
      <c r="N43" s="5"/>
      <c r="O43" s="5"/>
      <c r="P43" s="5"/>
      <c r="Q43" s="5">
        <v>2191</v>
      </c>
      <c r="R43" s="5">
        <v>2723</v>
      </c>
      <c r="S43" s="5">
        <v>3398</v>
      </c>
    </row>
    <row r="44" spans="2:26" x14ac:dyDescent="0.25">
      <c r="B44" s="1" t="s">
        <v>43</v>
      </c>
      <c r="C44" s="5">
        <v>93</v>
      </c>
      <c r="D44" s="5">
        <f>244-C44</f>
        <v>151</v>
      </c>
      <c r="E44" s="5">
        <f>406-C44-D44</f>
        <v>162</v>
      </c>
      <c r="F44" s="5">
        <v>144</v>
      </c>
      <c r="G44" s="5">
        <v>165</v>
      </c>
      <c r="H44" s="5">
        <f>297-G44</f>
        <v>132</v>
      </c>
      <c r="I44" s="5">
        <f>433-G44-H44</f>
        <v>136</v>
      </c>
      <c r="J44" s="5">
        <v>261</v>
      </c>
      <c r="K44" s="5">
        <v>135</v>
      </c>
      <c r="L44" s="5">
        <f>397-K44</f>
        <v>262</v>
      </c>
      <c r="M44" s="5"/>
      <c r="N44" s="5"/>
      <c r="O44" s="5"/>
      <c r="P44" s="5"/>
      <c r="Q44" s="5">
        <v>392</v>
      </c>
      <c r="R44" s="5">
        <v>550</v>
      </c>
      <c r="S44" s="5">
        <v>694</v>
      </c>
    </row>
    <row r="45" spans="2:26" x14ac:dyDescent="0.25">
      <c r="B45" s="1" t="s">
        <v>44</v>
      </c>
      <c r="C45" s="5">
        <v>325</v>
      </c>
      <c r="D45" s="5">
        <f>677-C45</f>
        <v>352</v>
      </c>
      <c r="E45" s="5">
        <f>1038-C45-D45</f>
        <v>361</v>
      </c>
      <c r="F45" s="5">
        <v>363</v>
      </c>
      <c r="G45" s="5">
        <v>381</v>
      </c>
      <c r="H45" s="5">
        <f>778-G45</f>
        <v>397</v>
      </c>
      <c r="I45" s="5">
        <f>1191-G45-H45</f>
        <v>413</v>
      </c>
      <c r="J45" s="5">
        <v>413</v>
      </c>
      <c r="K45" s="5">
        <v>422</v>
      </c>
      <c r="L45" s="5">
        <f>866-K45</f>
        <v>444</v>
      </c>
      <c r="M45" s="5"/>
      <c r="N45" s="5"/>
      <c r="O45" s="5"/>
      <c r="P45" s="5"/>
      <c r="Q45" s="5">
        <v>1131</v>
      </c>
      <c r="R45" s="5">
        <v>1401</v>
      </c>
      <c r="S45" s="5">
        <v>1604</v>
      </c>
    </row>
    <row r="46" spans="2:26" x14ac:dyDescent="0.25">
      <c r="B46" s="2" t="s">
        <v>45</v>
      </c>
      <c r="C46" s="6">
        <f t="shared" ref="C46:K46" si="64">+C43-C44</f>
        <v>770</v>
      </c>
      <c r="D46" s="6">
        <f t="shared" si="64"/>
        <v>282</v>
      </c>
      <c r="E46" s="6">
        <f t="shared" si="64"/>
        <v>103</v>
      </c>
      <c r="F46" s="6">
        <f t="shared" si="64"/>
        <v>1018</v>
      </c>
      <c r="G46" s="6">
        <f t="shared" si="64"/>
        <v>737</v>
      </c>
      <c r="H46" s="6">
        <f t="shared" si="64"/>
        <v>448</v>
      </c>
      <c r="I46" s="6">
        <f t="shared" si="64"/>
        <v>175</v>
      </c>
      <c r="J46" s="6">
        <f t="shared" si="64"/>
        <v>1344</v>
      </c>
      <c r="K46" s="6">
        <f t="shared" si="64"/>
        <v>1206</v>
      </c>
      <c r="L46" s="6">
        <f>+L43-L44</f>
        <v>358</v>
      </c>
      <c r="M46" s="6">
        <f t="shared" ref="M46:N46" si="65">+M43-M44</f>
        <v>0</v>
      </c>
      <c r="N46" s="6">
        <f t="shared" si="65"/>
        <v>0</v>
      </c>
      <c r="O46" s="6"/>
      <c r="P46" s="6"/>
      <c r="Q46" s="6">
        <f t="shared" ref="Q46:R46" si="66">+Q43-Q44</f>
        <v>1799</v>
      </c>
      <c r="R46" s="6">
        <f t="shared" si="66"/>
        <v>2173</v>
      </c>
      <c r="S46" s="6">
        <f>+S43-S44</f>
        <v>2704</v>
      </c>
      <c r="T46" s="2">
        <f t="shared" ref="T46" si="67">+T43-T44-T45</f>
        <v>0</v>
      </c>
      <c r="U46" s="2">
        <f t="shared" ref="U46" si="68">+U43-U44-U45</f>
        <v>0</v>
      </c>
      <c r="V46" s="2">
        <f t="shared" ref="V46" si="69">+V43-V44-V45</f>
        <v>0</v>
      </c>
      <c r="W46" s="2">
        <f t="shared" ref="W46" si="70">+W43-W44-W45</f>
        <v>0</v>
      </c>
      <c r="X46" s="2">
        <f t="shared" ref="X46" si="71">+X43-X44-X45</f>
        <v>0</v>
      </c>
      <c r="Y46" s="2">
        <f t="shared" ref="Y46" si="72">+Y43-Y44-Y45</f>
        <v>0</v>
      </c>
      <c r="Z46" s="2">
        <f t="shared" ref="Z46" si="73">+Z43-Z44-Z45</f>
        <v>0</v>
      </c>
    </row>
    <row r="47" spans="2:26" x14ac:dyDescent="0.25">
      <c r="B47" s="1" t="s">
        <v>72</v>
      </c>
      <c r="C47" s="5"/>
      <c r="D47" s="5"/>
      <c r="E47" s="5"/>
      <c r="F47" s="5">
        <f t="shared" ref="F47:K47" si="74">+SUM(C46:F46)</f>
        <v>2173</v>
      </c>
      <c r="G47" s="5">
        <f t="shared" si="74"/>
        <v>2140</v>
      </c>
      <c r="H47" s="5">
        <f t="shared" si="74"/>
        <v>2306</v>
      </c>
      <c r="I47" s="5">
        <f t="shared" si="74"/>
        <v>2378</v>
      </c>
      <c r="J47" s="5">
        <f t="shared" si="74"/>
        <v>2704</v>
      </c>
      <c r="K47" s="5">
        <f t="shared" si="74"/>
        <v>3173</v>
      </c>
      <c r="L47" s="5">
        <f>+SUM(I46:L46)</f>
        <v>3083</v>
      </c>
      <c r="M47" s="6"/>
      <c r="N47" s="6"/>
      <c r="O47" s="6"/>
      <c r="P47" s="6"/>
      <c r="Q47" s="6"/>
      <c r="R47" s="6"/>
      <c r="S47" s="6"/>
      <c r="T47" s="2"/>
      <c r="U47" s="2"/>
      <c r="V47" s="2"/>
      <c r="W47" s="2"/>
      <c r="X47" s="2"/>
      <c r="Y47" s="2"/>
      <c r="Z47" s="2"/>
    </row>
    <row r="48" spans="2:26" x14ac:dyDescent="0.25">
      <c r="B48" s="11" t="s">
        <v>73</v>
      </c>
      <c r="J48" s="10">
        <f t="shared" ref="J48:K48" si="75">+J47/G47-1</f>
        <v>0.26355140186915893</v>
      </c>
      <c r="K48" s="10">
        <f t="shared" si="75"/>
        <v>0.37597571552471809</v>
      </c>
      <c r="L48" s="10">
        <f>+L47/I47-1</f>
        <v>0.29646761984861225</v>
      </c>
      <c r="R48" s="10">
        <f t="shared" ref="R48" si="76">+R46/Q46-1</f>
        <v>0.20789327404113389</v>
      </c>
      <c r="S48" s="10">
        <f>+S46/R46-1</f>
        <v>0.24436263230556832</v>
      </c>
    </row>
    <row r="50" spans="1:26" x14ac:dyDescent="0.25">
      <c r="B50" s="1" t="s">
        <v>47</v>
      </c>
      <c r="H50" s="5">
        <f>+H51+H52+H57-H72</f>
        <v>6592</v>
      </c>
      <c r="I50" s="5"/>
      <c r="J50" s="5"/>
      <c r="K50" s="5"/>
      <c r="L50" s="5">
        <f>+L51+L52+L57-L72</f>
        <v>7397</v>
      </c>
      <c r="T50" s="5">
        <f>+L50+T25</f>
        <v>8605.6276162499998</v>
      </c>
      <c r="U50" s="5">
        <f>+T50+U25</f>
        <v>10345.144672654373</v>
      </c>
      <c r="V50" s="5">
        <f t="shared" ref="V50:Z50" si="77">+U50+V25</f>
        <v>12815.078891757814</v>
      </c>
      <c r="W50" s="5">
        <f t="shared" si="77"/>
        <v>16199.573618194261</v>
      </c>
      <c r="X50" s="5">
        <f t="shared" si="77"/>
        <v>20708.592968294543</v>
      </c>
      <c r="Y50" s="5">
        <f t="shared" si="77"/>
        <v>26574.035366926517</v>
      </c>
      <c r="Z50" s="5">
        <f t="shared" si="77"/>
        <v>34040.964397238175</v>
      </c>
    </row>
    <row r="51" spans="1:26" x14ac:dyDescent="0.25">
      <c r="B51" s="1" t="s">
        <v>48</v>
      </c>
      <c r="H51" s="5">
        <v>1897</v>
      </c>
      <c r="I51" s="5"/>
      <c r="J51" s="5"/>
      <c r="K51" s="5"/>
      <c r="L51" s="5">
        <v>2159</v>
      </c>
    </row>
    <row r="52" spans="1:26" x14ac:dyDescent="0.25">
      <c r="B52" s="1" t="s">
        <v>49</v>
      </c>
      <c r="H52" s="5">
        <v>2980</v>
      </c>
      <c r="I52" s="5"/>
      <c r="J52" s="5"/>
      <c r="K52" s="5"/>
      <c r="L52" s="5">
        <v>3254</v>
      </c>
    </row>
    <row r="53" spans="1:26" x14ac:dyDescent="0.25">
      <c r="B53" s="1" t="s">
        <v>50</v>
      </c>
      <c r="H53" s="5">
        <v>2036</v>
      </c>
      <c r="I53" s="5"/>
      <c r="J53" s="5"/>
      <c r="K53" s="5"/>
      <c r="L53" s="5">
        <v>1518</v>
      </c>
    </row>
    <row r="54" spans="1:26" x14ac:dyDescent="0.25">
      <c r="B54" s="1" t="s">
        <v>51</v>
      </c>
      <c r="H54" s="5">
        <v>461</v>
      </c>
      <c r="I54" s="5"/>
      <c r="J54" s="5"/>
      <c r="K54" s="5"/>
      <c r="L54" s="5">
        <v>482</v>
      </c>
    </row>
    <row r="55" spans="1:26" x14ac:dyDescent="0.25">
      <c r="B55" s="1" t="s">
        <v>52</v>
      </c>
      <c r="H55" s="5">
        <v>403</v>
      </c>
      <c r="I55" s="5"/>
      <c r="J55" s="5"/>
      <c r="K55" s="5"/>
      <c r="L55" s="5">
        <v>608</v>
      </c>
    </row>
    <row r="56" spans="1:26" x14ac:dyDescent="0.25">
      <c r="B56" s="1" t="s">
        <v>53</v>
      </c>
      <c r="H56" s="5">
        <v>919</v>
      </c>
      <c r="I56" s="5"/>
      <c r="J56" s="5"/>
      <c r="K56" s="5"/>
      <c r="L56" s="5">
        <v>928</v>
      </c>
    </row>
    <row r="57" spans="1:26" x14ac:dyDescent="0.25">
      <c r="B57" s="1" t="s">
        <v>54</v>
      </c>
      <c r="H57" s="5">
        <v>3203</v>
      </c>
      <c r="I57" s="5"/>
      <c r="J57" s="5"/>
      <c r="K57" s="5"/>
      <c r="L57" s="5">
        <v>3472</v>
      </c>
    </row>
    <row r="58" spans="1:26" x14ac:dyDescent="0.25">
      <c r="B58" s="1" t="s">
        <v>55</v>
      </c>
      <c r="H58" s="5">
        <v>1358</v>
      </c>
      <c r="I58" s="5"/>
      <c r="J58" s="5"/>
      <c r="K58" s="5"/>
      <c r="L58" s="5">
        <v>1606</v>
      </c>
    </row>
    <row r="59" spans="1:26" x14ac:dyDescent="0.25">
      <c r="B59" s="1" t="s">
        <v>56</v>
      </c>
      <c r="H59" s="5">
        <v>715</v>
      </c>
      <c r="I59" s="5"/>
      <c r="J59" s="5"/>
      <c r="K59" s="5"/>
      <c r="L59" s="5">
        <v>675</v>
      </c>
    </row>
    <row r="60" spans="1:26" x14ac:dyDescent="0.25">
      <c r="B60" s="1" t="s">
        <v>57</v>
      </c>
      <c r="H60" s="5">
        <v>224</v>
      </c>
      <c r="I60" s="5"/>
      <c r="J60" s="5"/>
      <c r="K60" s="5"/>
      <c r="L60" s="5">
        <v>220</v>
      </c>
    </row>
    <row r="61" spans="1:26" x14ac:dyDescent="0.25">
      <c r="B61" s="1" t="s">
        <v>58</v>
      </c>
      <c r="H61" s="5">
        <v>1231</v>
      </c>
      <c r="I61" s="5"/>
      <c r="J61" s="5"/>
      <c r="K61" s="5"/>
      <c r="L61" s="5">
        <v>1239</v>
      </c>
    </row>
    <row r="62" spans="1:26" x14ac:dyDescent="0.25">
      <c r="B62" s="1" t="s">
        <v>59</v>
      </c>
      <c r="H62" s="5">
        <v>1508</v>
      </c>
      <c r="I62" s="5"/>
      <c r="J62" s="5"/>
      <c r="K62" s="5"/>
      <c r="L62" s="5">
        <v>1447</v>
      </c>
    </row>
    <row r="63" spans="1:26" x14ac:dyDescent="0.25">
      <c r="B63" s="1" t="s">
        <v>60</v>
      </c>
      <c r="H63" s="5">
        <v>452</v>
      </c>
      <c r="I63" s="5"/>
      <c r="J63" s="5"/>
      <c r="K63" s="5"/>
      <c r="L63" s="5">
        <v>599</v>
      </c>
    </row>
    <row r="64" spans="1:26" s="2" customFormat="1" x14ac:dyDescent="0.25">
      <c r="A64" s="1"/>
      <c r="B64" s="2" t="s">
        <v>61</v>
      </c>
      <c r="H64" s="6">
        <f>+SUM(H50:H63)</f>
        <v>23979</v>
      </c>
      <c r="I64" s="6"/>
      <c r="J64" s="6"/>
      <c r="K64" s="6"/>
      <c r="L64" s="6">
        <f>+SUM(L50:L63)</f>
        <v>25604</v>
      </c>
    </row>
    <row r="65" spans="1:12" x14ac:dyDescent="0.25">
      <c r="H65" s="5"/>
      <c r="I65" s="5"/>
      <c r="J65" s="5"/>
      <c r="K65" s="5"/>
      <c r="L65" s="5"/>
    </row>
    <row r="66" spans="1:12" x14ac:dyDescent="0.25">
      <c r="B66" s="1" t="s">
        <v>62</v>
      </c>
      <c r="H66" s="5">
        <v>126</v>
      </c>
      <c r="I66" s="5"/>
      <c r="J66" s="5"/>
      <c r="K66" s="5"/>
      <c r="L66" s="5">
        <v>296</v>
      </c>
    </row>
    <row r="67" spans="1:12" x14ac:dyDescent="0.25">
      <c r="B67" s="1" t="s">
        <v>63</v>
      </c>
      <c r="H67" s="5">
        <v>1365</v>
      </c>
      <c r="I67" s="5"/>
      <c r="J67" s="5"/>
      <c r="K67" s="5"/>
      <c r="L67" s="5">
        <v>1163</v>
      </c>
    </row>
    <row r="68" spans="1:12" x14ac:dyDescent="0.25">
      <c r="B68" s="1" t="s">
        <v>64</v>
      </c>
      <c r="H68" s="5">
        <v>5785</v>
      </c>
      <c r="I68" s="5"/>
      <c r="J68" s="5"/>
      <c r="K68" s="5"/>
      <c r="L68" s="5">
        <v>5615</v>
      </c>
    </row>
    <row r="69" spans="1:12" x14ac:dyDescent="0.25">
      <c r="B69" s="1" t="s">
        <v>65</v>
      </c>
      <c r="H69" s="5">
        <v>89</v>
      </c>
      <c r="I69" s="5"/>
      <c r="J69" s="5"/>
      <c r="K69" s="5"/>
      <c r="L69" s="5">
        <v>98</v>
      </c>
    </row>
    <row r="70" spans="1:12" x14ac:dyDescent="0.25">
      <c r="B70" s="1" t="s">
        <v>70</v>
      </c>
      <c r="H70" s="5">
        <v>81</v>
      </c>
      <c r="I70" s="5"/>
      <c r="J70" s="5"/>
      <c r="K70" s="5"/>
      <c r="L70" s="5">
        <v>85</v>
      </c>
    </row>
    <row r="71" spans="1:12" x14ac:dyDescent="0.25">
      <c r="B71" s="1" t="s">
        <v>71</v>
      </c>
      <c r="H71" s="5">
        <v>707</v>
      </c>
      <c r="I71" s="5"/>
      <c r="J71" s="5"/>
      <c r="K71" s="5"/>
      <c r="L71" s="5">
        <v>669</v>
      </c>
    </row>
    <row r="72" spans="1:12" x14ac:dyDescent="0.25">
      <c r="B72" s="1" t="s">
        <v>66</v>
      </c>
      <c r="H72" s="5">
        <v>1488</v>
      </c>
      <c r="I72" s="5"/>
      <c r="J72" s="5"/>
      <c r="K72" s="5"/>
      <c r="L72" s="5">
        <v>1488</v>
      </c>
    </row>
    <row r="73" spans="1:12" x14ac:dyDescent="0.25">
      <c r="B73" s="1" t="s">
        <v>67</v>
      </c>
      <c r="H73" s="5">
        <v>118</v>
      </c>
      <c r="I73" s="5"/>
      <c r="J73" s="5"/>
      <c r="K73" s="5"/>
      <c r="L73" s="5">
        <v>127</v>
      </c>
    </row>
    <row r="74" spans="1:12" s="2" customFormat="1" x14ac:dyDescent="0.25">
      <c r="A74" s="1"/>
      <c r="B74" s="2" t="s">
        <v>68</v>
      </c>
      <c r="H74" s="6">
        <f>+SUM(H66:H73)</f>
        <v>9759</v>
      </c>
      <c r="I74" s="6"/>
      <c r="J74" s="6"/>
      <c r="K74" s="6"/>
      <c r="L74" s="6">
        <f>+SUM(L66:L73)</f>
        <v>9541</v>
      </c>
    </row>
    <row r="75" spans="1:12" s="2" customFormat="1" x14ac:dyDescent="0.25">
      <c r="A75" s="1"/>
      <c r="B75" s="2" t="s">
        <v>69</v>
      </c>
      <c r="H75" s="6">
        <f>+H64-H74</f>
        <v>14220</v>
      </c>
      <c r="I75" s="6"/>
      <c r="J75" s="6"/>
      <c r="K75" s="6"/>
      <c r="L75" s="6">
        <f>+L64-L74</f>
        <v>16063</v>
      </c>
    </row>
    <row r="77" spans="1:12" x14ac:dyDescent="0.25">
      <c r="B77" s="1" t="s">
        <v>80</v>
      </c>
      <c r="C77" s="5"/>
      <c r="D77" s="5"/>
      <c r="E77" s="5"/>
      <c r="F77" s="5"/>
      <c r="G77" s="5"/>
      <c r="H77" s="5">
        <v>1724</v>
      </c>
      <c r="I77" s="5"/>
      <c r="J77" s="5"/>
      <c r="K77" s="5"/>
      <c r="L77" s="5">
        <v>1988</v>
      </c>
    </row>
    <row r="78" spans="1:12" x14ac:dyDescent="0.25">
      <c r="L78" s="10">
        <f>+L77/H77-1</f>
        <v>0.15313225058004631</v>
      </c>
    </row>
    <row r="79" spans="1:12" x14ac:dyDescent="0.25">
      <c r="B79" s="1" t="s">
        <v>81</v>
      </c>
      <c r="H79" s="4">
        <v>0.99</v>
      </c>
      <c r="L79" s="4">
        <v>0.98</v>
      </c>
    </row>
  </sheetData>
  <hyperlinks>
    <hyperlink ref="A1" location="main!A1" display="main" xr:uid="{89C693D2-7666-4BD5-80E9-EC2E2D107A13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Cadal Duarte Morais</dc:creator>
  <cp:lastModifiedBy>alexandreduartemorais@gmail.com</cp:lastModifiedBy>
  <dcterms:created xsi:type="dcterms:W3CDTF">2024-06-04T19:39:55Z</dcterms:created>
  <dcterms:modified xsi:type="dcterms:W3CDTF">2024-09-24T12:37:49Z</dcterms:modified>
</cp:coreProperties>
</file>