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Desktop/Models/"/>
    </mc:Choice>
  </mc:AlternateContent>
  <xr:revisionPtr revIDLastSave="343" documentId="8_{BCFAAD0D-201B-43D0-AAC0-B553AB615729}" xr6:coauthVersionLast="47" xr6:coauthVersionMax="47" xr10:uidLastSave="{33DA21BE-2847-437A-B9ED-4E3705123C92}"/>
  <bookViews>
    <workbookView xWindow="11424" yWindow="0" windowWidth="11712" windowHeight="12336" activeTab="1" xr2:uid="{4320747A-DD19-4964-95C8-7A04E553F4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2" l="1"/>
  <c r="Y25" i="2"/>
  <c r="X25" i="2"/>
  <c r="W25" i="2"/>
  <c r="V25" i="2"/>
  <c r="T25" i="2"/>
  <c r="S25" i="2"/>
  <c r="R25" i="2"/>
  <c r="Q25" i="2"/>
  <c r="U25" i="2"/>
  <c r="B4" i="1"/>
  <c r="B5" i="1"/>
  <c r="AC5" i="2"/>
  <c r="AA17" i="2"/>
  <c r="AB17" i="2" s="1"/>
  <c r="Z16" i="2"/>
  <c r="Y16" i="2"/>
  <c r="X16" i="2"/>
  <c r="W16" i="2"/>
  <c r="V16" i="2"/>
  <c r="U16" i="2"/>
  <c r="T16" i="2"/>
  <c r="S16" i="2"/>
  <c r="Z10" i="2"/>
  <c r="Y10" i="2"/>
  <c r="X10" i="2"/>
  <c r="W10" i="2"/>
  <c r="V10" i="2"/>
  <c r="U10" i="2"/>
  <c r="T10" i="2"/>
  <c r="S10" i="2"/>
  <c r="P14" i="2"/>
  <c r="T13" i="2"/>
  <c r="U13" i="2" s="1"/>
  <c r="V13" i="2" s="1"/>
  <c r="W13" i="2" s="1"/>
  <c r="X13" i="2" s="1"/>
  <c r="Y13" i="2" s="1"/>
  <c r="Z13" i="2" s="1"/>
  <c r="S13" i="2"/>
  <c r="T12" i="2"/>
  <c r="U12" i="2" s="1"/>
  <c r="V12" i="2" s="1"/>
  <c r="W12" i="2" s="1"/>
  <c r="X12" i="2" s="1"/>
  <c r="Y12" i="2" s="1"/>
  <c r="Z12" i="2" s="1"/>
  <c r="S12" i="2"/>
  <c r="T11" i="2"/>
  <c r="U11" i="2" s="1"/>
  <c r="S11" i="2"/>
  <c r="Z7" i="2"/>
  <c r="Y7" i="2"/>
  <c r="X7" i="2"/>
  <c r="W7" i="2"/>
  <c r="V7" i="2"/>
  <c r="U7" i="2"/>
  <c r="T7" i="2"/>
  <c r="S7" i="2"/>
  <c r="W6" i="2"/>
  <c r="X6" i="2" s="1"/>
  <c r="V6" i="2"/>
  <c r="U6" i="2"/>
  <c r="T6" i="2"/>
  <c r="S6" i="2"/>
  <c r="Z5" i="2"/>
  <c r="Y5" i="2"/>
  <c r="X5" i="2"/>
  <c r="W5" i="2"/>
  <c r="V5" i="2"/>
  <c r="U5" i="2"/>
  <c r="T5" i="2"/>
  <c r="S5" i="2"/>
  <c r="S20" i="2" s="1"/>
  <c r="Z29" i="2"/>
  <c r="Y29" i="2"/>
  <c r="X29" i="2"/>
  <c r="W29" i="2"/>
  <c r="V29" i="2"/>
  <c r="U29" i="2"/>
  <c r="T29" i="2"/>
  <c r="S29" i="2"/>
  <c r="Z27" i="2"/>
  <c r="Y27" i="2"/>
  <c r="X27" i="2"/>
  <c r="W27" i="2"/>
  <c r="V27" i="2"/>
  <c r="U27" i="2"/>
  <c r="T27" i="2"/>
  <c r="S27" i="2"/>
  <c r="U38" i="2"/>
  <c r="U39" i="2" s="1"/>
  <c r="T39" i="2"/>
  <c r="S39" i="2"/>
  <c r="T38" i="2"/>
  <c r="S38" i="2"/>
  <c r="S26" i="2" s="1"/>
  <c r="R39" i="2"/>
  <c r="Z4" i="2"/>
  <c r="Y4" i="2"/>
  <c r="X4" i="2"/>
  <c r="W4" i="2"/>
  <c r="V4" i="2"/>
  <c r="U4" i="2"/>
  <c r="T4" i="2"/>
  <c r="S4" i="2"/>
  <c r="V36" i="2"/>
  <c r="W36" i="2" s="1"/>
  <c r="X36" i="2" s="1"/>
  <c r="Y36" i="2" s="1"/>
  <c r="Z36" i="2" s="1"/>
  <c r="U36" i="2"/>
  <c r="T36" i="2"/>
  <c r="S36" i="2"/>
  <c r="Y28" i="2"/>
  <c r="Z28" i="2" s="1"/>
  <c r="X28" i="2"/>
  <c r="W28" i="2"/>
  <c r="V28" i="2"/>
  <c r="U28" i="2"/>
  <c r="T28" i="2"/>
  <c r="S28" i="2"/>
  <c r="R38" i="2"/>
  <c r="Q38" i="2"/>
  <c r="M38" i="2"/>
  <c r="L38" i="2"/>
  <c r="K38" i="2"/>
  <c r="J38" i="2"/>
  <c r="I38" i="2"/>
  <c r="H38" i="2"/>
  <c r="G38" i="2"/>
  <c r="F38" i="2"/>
  <c r="R37" i="2"/>
  <c r="M37" i="2"/>
  <c r="L37" i="2"/>
  <c r="K37" i="2"/>
  <c r="J37" i="2"/>
  <c r="I37" i="2"/>
  <c r="H37" i="2"/>
  <c r="G37" i="2"/>
  <c r="R36" i="2"/>
  <c r="Q36" i="2"/>
  <c r="L36" i="2"/>
  <c r="K36" i="2"/>
  <c r="J36" i="2"/>
  <c r="I36" i="2"/>
  <c r="H36" i="2"/>
  <c r="G36" i="2"/>
  <c r="F36" i="2"/>
  <c r="M36" i="2"/>
  <c r="R27" i="2"/>
  <c r="R29" i="2"/>
  <c r="Q34" i="2"/>
  <c r="Q20" i="2"/>
  <c r="Q14" i="2"/>
  <c r="Q8" i="2"/>
  <c r="Q4" i="2"/>
  <c r="Q9" i="2" s="1"/>
  <c r="R34" i="2"/>
  <c r="R20" i="2"/>
  <c r="R14" i="2"/>
  <c r="R8" i="2"/>
  <c r="R4" i="2"/>
  <c r="T1" i="2"/>
  <c r="U1" i="2" s="1"/>
  <c r="V1" i="2" s="1"/>
  <c r="W1" i="2" s="1"/>
  <c r="X1" i="2" s="1"/>
  <c r="Y1" i="2" s="1"/>
  <c r="Z1" i="2" s="1"/>
  <c r="S1" i="2"/>
  <c r="Z34" i="2"/>
  <c r="Z20" i="2"/>
  <c r="Y34" i="2"/>
  <c r="Y20" i="2"/>
  <c r="X34" i="2"/>
  <c r="X20" i="2"/>
  <c r="W34" i="2"/>
  <c r="W20" i="2"/>
  <c r="V34" i="2"/>
  <c r="V20" i="2"/>
  <c r="V8" i="2"/>
  <c r="V9" i="2" s="1"/>
  <c r="V21" i="2" s="1"/>
  <c r="U34" i="2"/>
  <c r="U20" i="2"/>
  <c r="T34" i="2"/>
  <c r="T20" i="2"/>
  <c r="T8" i="2"/>
  <c r="T9" i="2" s="1"/>
  <c r="T21" i="2" s="1"/>
  <c r="S34" i="2"/>
  <c r="P34" i="2"/>
  <c r="P20" i="2"/>
  <c r="P9" i="2"/>
  <c r="P21" i="2" s="1"/>
  <c r="P8" i="2"/>
  <c r="P4" i="2"/>
  <c r="L34" i="2"/>
  <c r="K34" i="2"/>
  <c r="J34" i="2"/>
  <c r="I34" i="2"/>
  <c r="H34" i="2"/>
  <c r="G34" i="2"/>
  <c r="F34" i="2"/>
  <c r="E34" i="2"/>
  <c r="D34" i="2"/>
  <c r="C34" i="2"/>
  <c r="B34" i="2"/>
  <c r="M34" i="2"/>
  <c r="L14" i="2"/>
  <c r="K14" i="2"/>
  <c r="J14" i="2"/>
  <c r="I14" i="2"/>
  <c r="H14" i="2"/>
  <c r="G14" i="2"/>
  <c r="F14" i="2"/>
  <c r="E14" i="2"/>
  <c r="D14" i="2"/>
  <c r="C14" i="2"/>
  <c r="B14" i="2"/>
  <c r="M14" i="2"/>
  <c r="L20" i="2"/>
  <c r="K20" i="2"/>
  <c r="J20" i="2"/>
  <c r="I20" i="2"/>
  <c r="H20" i="2"/>
  <c r="G20" i="2"/>
  <c r="F20" i="2"/>
  <c r="M20" i="2"/>
  <c r="L8" i="2"/>
  <c r="K8" i="2"/>
  <c r="J8" i="2"/>
  <c r="I8" i="2"/>
  <c r="H8" i="2"/>
  <c r="G8" i="2"/>
  <c r="F8" i="2"/>
  <c r="E8" i="2"/>
  <c r="D8" i="2"/>
  <c r="C8" i="2"/>
  <c r="B8" i="2"/>
  <c r="M8" i="2"/>
  <c r="M4" i="2"/>
  <c r="L4" i="2"/>
  <c r="K4" i="2"/>
  <c r="K25" i="2" s="1"/>
  <c r="J4" i="2"/>
  <c r="J25" i="2" s="1"/>
  <c r="I4" i="2"/>
  <c r="I25" i="2" s="1"/>
  <c r="H4" i="2"/>
  <c r="H25" i="2" s="1"/>
  <c r="G4" i="2"/>
  <c r="G25" i="2" s="1"/>
  <c r="F4" i="2"/>
  <c r="F25" i="2" s="1"/>
  <c r="E4" i="2"/>
  <c r="D4" i="2"/>
  <c r="C4" i="2"/>
  <c r="B4" i="2"/>
  <c r="AC17" i="2" l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T14" i="2"/>
  <c r="T15" i="2" s="1"/>
  <c r="S14" i="2"/>
  <c r="V11" i="2"/>
  <c r="U14" i="2"/>
  <c r="U8" i="2"/>
  <c r="U9" i="2" s="1"/>
  <c r="S8" i="2"/>
  <c r="S9" i="2" s="1"/>
  <c r="S21" i="2" s="1"/>
  <c r="W8" i="2"/>
  <c r="W9" i="2" s="1"/>
  <c r="W21" i="2" s="1"/>
  <c r="X8" i="2"/>
  <c r="X9" i="2" s="1"/>
  <c r="X21" i="2" s="1"/>
  <c r="Y6" i="2"/>
  <c r="V38" i="2"/>
  <c r="U26" i="2"/>
  <c r="T26" i="2"/>
  <c r="L25" i="2"/>
  <c r="P25" i="2"/>
  <c r="M25" i="2"/>
  <c r="Q21" i="2"/>
  <c r="Q15" i="2"/>
  <c r="R9" i="2"/>
  <c r="P15" i="2"/>
  <c r="E9" i="2"/>
  <c r="M9" i="2"/>
  <c r="H9" i="2"/>
  <c r="F9" i="2"/>
  <c r="G9" i="2"/>
  <c r="D9" i="2"/>
  <c r="L9" i="2"/>
  <c r="I9" i="2"/>
  <c r="B9" i="2"/>
  <c r="J9" i="2"/>
  <c r="C9" i="2"/>
  <c r="K9" i="2"/>
  <c r="AC4" i="2" l="1"/>
  <c r="AC6" i="2" s="1"/>
  <c r="AC7" i="2" s="1"/>
  <c r="V14" i="2"/>
  <c r="V15" i="2" s="1"/>
  <c r="V22" i="2" s="1"/>
  <c r="W11" i="2"/>
  <c r="U15" i="2"/>
  <c r="U17" i="2" s="1"/>
  <c r="U23" i="2" s="1"/>
  <c r="Z6" i="2"/>
  <c r="Z8" i="2" s="1"/>
  <c r="Z9" i="2" s="1"/>
  <c r="Z21" i="2" s="1"/>
  <c r="Y8" i="2"/>
  <c r="Y9" i="2" s="1"/>
  <c r="Y21" i="2" s="1"/>
  <c r="U21" i="2"/>
  <c r="S15" i="2"/>
  <c r="S22" i="2" s="1"/>
  <c r="W38" i="2"/>
  <c r="V39" i="2"/>
  <c r="V26" i="2"/>
  <c r="Q22" i="2"/>
  <c r="Q17" i="2"/>
  <c r="Q23" i="2" s="1"/>
  <c r="R21" i="2"/>
  <c r="R15" i="2"/>
  <c r="T22" i="2"/>
  <c r="T17" i="2"/>
  <c r="T23" i="2" s="1"/>
  <c r="P22" i="2"/>
  <c r="P17" i="2"/>
  <c r="P23" i="2" s="1"/>
  <c r="E15" i="2"/>
  <c r="J21" i="2"/>
  <c r="J15" i="2"/>
  <c r="B15" i="2"/>
  <c r="L21" i="2"/>
  <c r="L15" i="2"/>
  <c r="F21" i="2"/>
  <c r="F15" i="2"/>
  <c r="M21" i="2"/>
  <c r="M15" i="2"/>
  <c r="I21" i="2"/>
  <c r="I15" i="2"/>
  <c r="D15" i="2"/>
  <c r="G21" i="2"/>
  <c r="G15" i="2"/>
  <c r="K21" i="2"/>
  <c r="K15" i="2"/>
  <c r="C15" i="2"/>
  <c r="H21" i="2"/>
  <c r="H15" i="2"/>
  <c r="U22" i="2" l="1"/>
  <c r="V17" i="2"/>
  <c r="V23" i="2" s="1"/>
  <c r="W14" i="2"/>
  <c r="W15" i="2" s="1"/>
  <c r="X11" i="2"/>
  <c r="S17" i="2"/>
  <c r="S23" i="2" s="1"/>
  <c r="X38" i="2"/>
  <c r="W39" i="2"/>
  <c r="W26" i="2"/>
  <c r="R22" i="2"/>
  <c r="R17" i="2"/>
  <c r="R23" i="2" s="1"/>
  <c r="D17" i="2"/>
  <c r="C17" i="2"/>
  <c r="B17" i="2"/>
  <c r="K17" i="2"/>
  <c r="K23" i="2" s="1"/>
  <c r="K22" i="2"/>
  <c r="M17" i="2"/>
  <c r="M23" i="2" s="1"/>
  <c r="M22" i="2"/>
  <c r="J17" i="2"/>
  <c r="J23" i="2" s="1"/>
  <c r="J22" i="2"/>
  <c r="G22" i="2"/>
  <c r="G17" i="2"/>
  <c r="G23" i="2" s="1"/>
  <c r="F22" i="2"/>
  <c r="F17" i="2"/>
  <c r="F23" i="2" s="1"/>
  <c r="E17" i="2"/>
  <c r="H22" i="2"/>
  <c r="H17" i="2"/>
  <c r="H23" i="2" s="1"/>
  <c r="L17" i="2"/>
  <c r="L23" i="2" s="1"/>
  <c r="L22" i="2"/>
  <c r="I17" i="2"/>
  <c r="I23" i="2" s="1"/>
  <c r="I22" i="2"/>
  <c r="W22" i="2" l="1"/>
  <c r="W17" i="2"/>
  <c r="W23" i="2" s="1"/>
  <c r="Y11" i="2"/>
  <c r="X14" i="2"/>
  <c r="X15" i="2" s="1"/>
  <c r="Y38" i="2"/>
  <c r="X39" i="2"/>
  <c r="X26" i="2"/>
  <c r="X17" i="2" l="1"/>
  <c r="X23" i="2" s="1"/>
  <c r="X22" i="2"/>
  <c r="Z11" i="2"/>
  <c r="Z14" i="2" s="1"/>
  <c r="Z15" i="2" s="1"/>
  <c r="Y14" i="2"/>
  <c r="Y15" i="2" s="1"/>
  <c r="Z38" i="2"/>
  <c r="Y39" i="2"/>
  <c r="Y26" i="2"/>
  <c r="Y22" i="2" l="1"/>
  <c r="Y17" i="2"/>
  <c r="Y23" i="2" s="1"/>
  <c r="Z17" i="2"/>
  <c r="Z23" i="2" s="1"/>
  <c r="Z22" i="2"/>
  <c r="Z26" i="2"/>
  <c r="Z39" i="2"/>
</calcChain>
</file>

<file path=xl/sharedStrings.xml><?xml version="1.0" encoding="utf-8"?>
<sst xmlns="http://schemas.openxmlformats.org/spreadsheetml/2006/main" count="58" uniqueCount="56">
  <si>
    <t>ticket</t>
  </si>
  <si>
    <t>price</t>
  </si>
  <si>
    <t>shares</t>
  </si>
  <si>
    <t>mc</t>
  </si>
  <si>
    <t>cash</t>
  </si>
  <si>
    <t>debt</t>
  </si>
  <si>
    <t>ev</t>
  </si>
  <si>
    <t>nu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</si>
  <si>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</si>
  <si>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</si>
  <si>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</si>
  <si>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</si>
  <si>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</si>
  <si>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</si>
  <si>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</si>
  <si>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</si>
  <si>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Interest Income</t>
  </si>
  <si>
    <t>Fees and comissions</t>
  </si>
  <si>
    <t>Total Revenue</t>
  </si>
  <si>
    <t>Interest expenses</t>
  </si>
  <si>
    <t>Transactional expenses</t>
  </si>
  <si>
    <t>Credit loss allowance</t>
  </si>
  <si>
    <t>Total Costs</t>
  </si>
  <si>
    <t>Gross Profit</t>
  </si>
  <si>
    <t>Gross Margin</t>
  </si>
  <si>
    <t>Net Interest Profit Margin</t>
  </si>
  <si>
    <t>Costumer support and operations</t>
  </si>
  <si>
    <t>G&amp;A</t>
  </si>
  <si>
    <t>S&amp;M</t>
  </si>
  <si>
    <t>Other expenses</t>
  </si>
  <si>
    <t>Total Opex</t>
  </si>
  <si>
    <t>Operating Income</t>
  </si>
  <si>
    <t>Taxes</t>
  </si>
  <si>
    <t>Net Income</t>
  </si>
  <si>
    <t>Operating Margin</t>
  </si>
  <si>
    <t>Net Margin</t>
  </si>
  <si>
    <t>Revenue Y/Y</t>
  </si>
  <si>
    <t xml:space="preserve">Deposits </t>
  </si>
  <si>
    <t>Clients</t>
  </si>
  <si>
    <t>Deposits Y/Y</t>
  </si>
  <si>
    <t>Clients Y/Y</t>
  </si>
  <si>
    <t>CFFO</t>
  </si>
  <si>
    <t>CAPEX</t>
  </si>
  <si>
    <t>SBC</t>
  </si>
  <si>
    <t>Q1 2021</t>
  </si>
  <si>
    <t>Q2 2021</t>
  </si>
  <si>
    <t>Q3 2021</t>
  </si>
  <si>
    <t>Q4 2021</t>
  </si>
  <si>
    <t>FCF</t>
  </si>
  <si>
    <t>Revenue per costumer</t>
  </si>
  <si>
    <t>Revenue per costumer Q/Q</t>
  </si>
  <si>
    <t>Deposit per costumer</t>
  </si>
  <si>
    <t>Discount</t>
  </si>
  <si>
    <t>Maturity</t>
  </si>
  <si>
    <t>NPV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</si>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</sst>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,##0_ ;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22087</xdr:rowOff>
    </xdr:from>
    <xdr:to>
      <xdr:col>18</xdr:col>
      <xdr:colOff>11044</xdr:colOff>
      <xdr:row>41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2DDA13-279F-0D78-529A-E154DB463D4E}"/>
            </a:ext>
          </a:extLst>
        </xdr:cNvPr>
        <xdr:cNvCxnSpPr/>
      </xdr:nvCxnSpPr>
      <xdr:spPr>
        <a:xfrm>
          <a:off x="12479130" y="22087"/>
          <a:ext cx="11044" cy="76752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DC50-9771-44B9-A17A-7F1EA03EE7DC}">
  <dimension ref="A1:B7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>
        <v>12.04</v>
      </c>
    </row>
    <row r="3" spans="1:2" x14ac:dyDescent="0.3">
      <c r="A3" t="s">
        <v>2</v>
      </c>
      <c r="B3">
        <v>4857</v>
      </c>
    </row>
    <row r="4" spans="1:2" x14ac:dyDescent="0.3">
      <c r="A4" t="s">
        <v>3</v>
      </c>
      <c r="B4">
        <f>B2*B3</f>
        <v>58478.28</v>
      </c>
    </row>
    <row r="5" spans="1:2" x14ac:dyDescent="0.3">
      <c r="A5" t="s">
        <v>4</v>
      </c>
      <c r="B5">
        <f>5923.44+368.574</f>
        <v>6292.0139999999992</v>
      </c>
    </row>
    <row r="6" spans="1:2" x14ac:dyDescent="0.3">
      <c r="A6" t="s">
        <v>5</v>
      </c>
      <c r="B6">
        <v>1136.3440000000001</v>
      </c>
    </row>
    <row r="7" spans="1:2" x14ac:dyDescent="0.3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D31B-1136-4895-93CA-C4E919AA617B}">
  <dimension ref="A1:DO39"/>
  <sheetViews>
    <sheetView tabSelected="1" zoomScale="69" zoomScaleNormal="69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4.4" x14ac:dyDescent="0.3"/>
  <cols>
    <col min="1" max="1" width="28" bestFit="1" customWidth="1"/>
    <col min="6" max="13" width="9.33203125" bestFit="1" customWidth="1"/>
    <col min="16" max="16" width="7.33203125" bestFit="1" customWidth="1"/>
    <col min="17" max="26" width="9.33203125" bestFit="1" customWidth="1"/>
    <col min="29" max="29" width="11.88671875" bestFit="1" customWidth="1"/>
  </cols>
  <sheetData>
    <row r="1" spans="1:29" x14ac:dyDescent="0.3">
      <c r="A1" s="2"/>
      <c r="B1" s="2" t="s">
        <v>44</v>
      </c>
      <c r="C1" s="2" t="s">
        <v>45</v>
      </c>
      <c r="D1" s="2" t="s">
        <v>46</v>
      </c>
      <c r="E1" s="2" t="s">
        <v>47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P1" s="2">
        <v>2021</v>
      </c>
      <c r="Q1" s="2">
        <v>2022</v>
      </c>
      <c r="R1" s="2">
        <v>2023</v>
      </c>
      <c r="S1" s="2">
        <f>+R1+1</f>
        <v>2024</v>
      </c>
      <c r="T1" s="2">
        <f t="shared" ref="T1:Z1" si="0">+S1+1</f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</row>
    <row r="2" spans="1:29" x14ac:dyDescent="0.3">
      <c r="A2" t="s">
        <v>16</v>
      </c>
      <c r="B2" s="3"/>
      <c r="C2" s="3"/>
      <c r="D2" s="3"/>
      <c r="E2" s="3"/>
      <c r="F2" s="3">
        <v>619.4</v>
      </c>
      <c r="G2" s="3">
        <v>853</v>
      </c>
      <c r="H2" s="3">
        <v>987.3</v>
      </c>
      <c r="I2" s="3">
        <v>1095.5</v>
      </c>
      <c r="J2" s="3">
        <v>1255.5</v>
      </c>
      <c r="K2" s="3">
        <v>1500.2</v>
      </c>
      <c r="L2" s="3">
        <v>1732.7</v>
      </c>
      <c r="M2" s="3">
        <v>1951.3</v>
      </c>
      <c r="P2" s="3"/>
      <c r="Q2" s="3">
        <v>3555.2130000000002</v>
      </c>
      <c r="R2" s="3">
        <v>6439.7120000000004</v>
      </c>
      <c r="S2" s="3"/>
      <c r="T2" s="3"/>
      <c r="U2" s="3"/>
      <c r="V2" s="3"/>
      <c r="W2" s="3"/>
      <c r="X2" s="3"/>
      <c r="Y2" s="3"/>
      <c r="Z2" s="3"/>
      <c r="AB2" t="s">
        <v>52</v>
      </c>
      <c r="AC2" s="1">
        <v>0.1</v>
      </c>
    </row>
    <row r="3" spans="1:29" x14ac:dyDescent="0.3">
      <c r="A3" t="s">
        <v>17</v>
      </c>
      <c r="B3" s="3"/>
      <c r="C3" s="3"/>
      <c r="D3" s="3"/>
      <c r="E3" s="3"/>
      <c r="F3" s="3">
        <v>257.8</v>
      </c>
      <c r="G3" s="3">
        <v>304.5</v>
      </c>
      <c r="H3" s="3">
        <v>319.60000000000002</v>
      </c>
      <c r="I3" s="3">
        <v>355</v>
      </c>
      <c r="J3" s="3">
        <v>363.2</v>
      </c>
      <c r="K3" s="3">
        <v>368.4</v>
      </c>
      <c r="L3" s="3">
        <v>404.1</v>
      </c>
      <c r="M3" s="3">
        <v>453.6</v>
      </c>
      <c r="P3" s="3"/>
      <c r="Q3" s="3">
        <v>1237.018</v>
      </c>
      <c r="R3" s="3">
        <v>1589.2639999999999</v>
      </c>
      <c r="S3" s="3"/>
      <c r="T3" s="3"/>
      <c r="U3" s="3"/>
      <c r="V3" s="3"/>
      <c r="W3" s="3"/>
      <c r="X3" s="3"/>
      <c r="Y3" s="3"/>
      <c r="Z3" s="3"/>
      <c r="AB3" t="s">
        <v>53</v>
      </c>
      <c r="AC3" s="1">
        <v>0.01</v>
      </c>
    </row>
    <row r="4" spans="1:29" x14ac:dyDescent="0.3">
      <c r="A4" s="2" t="s">
        <v>18</v>
      </c>
      <c r="B4" s="4">
        <f>B2+B3</f>
        <v>0</v>
      </c>
      <c r="C4" s="4">
        <f t="shared" ref="C4:M4" si="1">C2+C3</f>
        <v>0</v>
      </c>
      <c r="D4" s="4">
        <f t="shared" si="1"/>
        <v>0</v>
      </c>
      <c r="E4" s="4">
        <f t="shared" si="1"/>
        <v>0</v>
      </c>
      <c r="F4" s="4">
        <f t="shared" si="1"/>
        <v>877.2</v>
      </c>
      <c r="G4" s="4">
        <f t="shared" si="1"/>
        <v>1157.5</v>
      </c>
      <c r="H4" s="4">
        <f t="shared" si="1"/>
        <v>1306.9000000000001</v>
      </c>
      <c r="I4" s="4">
        <f t="shared" si="1"/>
        <v>1450.5</v>
      </c>
      <c r="J4" s="4">
        <f t="shared" si="1"/>
        <v>1618.7</v>
      </c>
      <c r="K4" s="4">
        <f t="shared" si="1"/>
        <v>1868.6</v>
      </c>
      <c r="L4" s="4">
        <f t="shared" si="1"/>
        <v>2136.8000000000002</v>
      </c>
      <c r="M4" s="4">
        <f t="shared" si="1"/>
        <v>2404.9</v>
      </c>
      <c r="P4" s="4">
        <f t="shared" ref="P4:R4" si="2">P2+P3</f>
        <v>0</v>
      </c>
      <c r="Q4" s="4">
        <f t="shared" si="2"/>
        <v>4792.2309999999998</v>
      </c>
      <c r="R4" s="4">
        <f t="shared" si="2"/>
        <v>8028.9760000000006</v>
      </c>
      <c r="S4" s="4">
        <f>S36*S28</f>
        <v>11541.652999999998</v>
      </c>
      <c r="T4" s="4">
        <f t="shared" ref="T4:Z4" si="3">T36*T28</f>
        <v>14865.649063999997</v>
      </c>
      <c r="U4" s="4">
        <f t="shared" si="3"/>
        <v>17013.735353747998</v>
      </c>
      <c r="V4" s="4">
        <f t="shared" si="3"/>
        <v>19472.220112364586</v>
      </c>
      <c r="W4" s="4">
        <f t="shared" si="3"/>
        <v>21877.039296241615</v>
      </c>
      <c r="X4" s="4">
        <f t="shared" si="3"/>
        <v>23889.726911495847</v>
      </c>
      <c r="Y4" s="4">
        <f t="shared" si="3"/>
        <v>26087.581787353465</v>
      </c>
      <c r="Z4" s="4">
        <f t="shared" si="3"/>
        <v>28487.639311789986</v>
      </c>
      <c r="AB4" t="s">
        <v>54</v>
      </c>
      <c r="AC4" s="5">
        <f>NPV(AC2,S17:DO17)</f>
        <v>70228.954418317968</v>
      </c>
    </row>
    <row r="5" spans="1:29" x14ac:dyDescent="0.3">
      <c r="A5" t="s">
        <v>19</v>
      </c>
      <c r="B5" s="3"/>
      <c r="C5" s="3"/>
      <c r="D5" s="3"/>
      <c r="E5" s="3"/>
      <c r="F5" s="3">
        <v>273</v>
      </c>
      <c r="G5" s="3">
        <v>407.5</v>
      </c>
      <c r="H5" s="3">
        <v>459.9</v>
      </c>
      <c r="I5" s="3">
        <v>407.5</v>
      </c>
      <c r="J5" s="3">
        <v>440.2</v>
      </c>
      <c r="K5" s="3">
        <v>453.4</v>
      </c>
      <c r="L5" s="3">
        <v>537.6</v>
      </c>
      <c r="M5" s="3">
        <v>605.6</v>
      </c>
      <c r="P5" s="3"/>
      <c r="Q5" s="3">
        <v>1547.903</v>
      </c>
      <c r="R5" s="3">
        <v>2036.925</v>
      </c>
      <c r="S5" s="3">
        <f>S26*0.09</f>
        <v>2820.8924999999995</v>
      </c>
      <c r="T5" s="3">
        <f t="shared" ref="T5:Z5" si="4">T26*0.09</f>
        <v>3475.3395600000003</v>
      </c>
      <c r="U5" s="3">
        <f t="shared" si="4"/>
        <v>4053.2885288280004</v>
      </c>
      <c r="V5" s="3">
        <f t="shared" si="4"/>
        <v>4638.9887212436461</v>
      </c>
      <c r="W5" s="3">
        <f t="shared" si="4"/>
        <v>5211.9038283172376</v>
      </c>
      <c r="X5" s="3">
        <f t="shared" si="4"/>
        <v>5691.3989805224246</v>
      </c>
      <c r="Y5" s="3">
        <f t="shared" si="4"/>
        <v>6215.0076867304879</v>
      </c>
      <c r="Z5" s="3">
        <f t="shared" si="4"/>
        <v>6786.7883939096937</v>
      </c>
      <c r="AB5" t="s">
        <v>55</v>
      </c>
      <c r="AC5" s="5">
        <f>+Sheet1!B5-Sheet1!B6</f>
        <v>5155.6699999999992</v>
      </c>
    </row>
    <row r="6" spans="1:29" x14ac:dyDescent="0.3">
      <c r="A6" t="s">
        <v>20</v>
      </c>
      <c r="B6" s="3"/>
      <c r="C6" s="3"/>
      <c r="D6" s="3"/>
      <c r="E6" s="3"/>
      <c r="F6" s="3">
        <v>34.4</v>
      </c>
      <c r="G6" s="3">
        <v>48</v>
      </c>
      <c r="H6" s="3">
        <v>44.5</v>
      </c>
      <c r="I6" s="3">
        <v>49.5</v>
      </c>
      <c r="J6" s="3">
        <v>52.8</v>
      </c>
      <c r="K6" s="3">
        <v>42.8</v>
      </c>
      <c r="L6" s="3">
        <v>56.8</v>
      </c>
      <c r="M6" s="3">
        <v>63.6</v>
      </c>
      <c r="P6" s="3"/>
      <c r="Q6" s="3">
        <v>176.42699999999999</v>
      </c>
      <c r="R6" s="3">
        <v>215.93</v>
      </c>
      <c r="S6" s="3">
        <f>R6*1.1</f>
        <v>237.52300000000002</v>
      </c>
      <c r="T6" s="3">
        <f>S6*1.08</f>
        <v>256.52484000000004</v>
      </c>
      <c r="U6" s="3">
        <f t="shared" ref="U6" si="5">T6*1.08</f>
        <v>277.04682720000005</v>
      </c>
      <c r="V6" s="3">
        <f>U6*1.05</f>
        <v>290.89916856000008</v>
      </c>
      <c r="W6" s="3">
        <f t="shared" ref="W6:Z6" si="6">V6*1.05</f>
        <v>305.44412698800011</v>
      </c>
      <c r="X6" s="3">
        <f t="shared" si="6"/>
        <v>320.7163333374001</v>
      </c>
      <c r="Y6" s="3">
        <f t="shared" si="6"/>
        <v>336.75215000427011</v>
      </c>
      <c r="Z6" s="3">
        <f t="shared" si="6"/>
        <v>353.5897575044836</v>
      </c>
      <c r="AB6" t="s">
        <v>6</v>
      </c>
      <c r="AC6" s="5">
        <f>AC4+AC5</f>
        <v>75384.624418317966</v>
      </c>
    </row>
    <row r="7" spans="1:29" x14ac:dyDescent="0.3">
      <c r="A7" t="s">
        <v>21</v>
      </c>
      <c r="B7" s="3"/>
      <c r="C7" s="3"/>
      <c r="D7" s="3"/>
      <c r="E7" s="3"/>
      <c r="F7" s="3">
        <v>275.7</v>
      </c>
      <c r="G7" s="3">
        <v>338.5</v>
      </c>
      <c r="H7" s="3">
        <v>375.5</v>
      </c>
      <c r="I7" s="3">
        <v>415.2</v>
      </c>
      <c r="J7" s="3">
        <v>474.8</v>
      </c>
      <c r="K7" s="3">
        <v>590.4</v>
      </c>
      <c r="L7" s="3">
        <v>627.6</v>
      </c>
      <c r="M7" s="3">
        <v>592.5</v>
      </c>
      <c r="P7" s="3"/>
      <c r="Q7" s="3">
        <v>1404.9110000000001</v>
      </c>
      <c r="R7" s="3">
        <v>2285.2179999999998</v>
      </c>
      <c r="S7" s="3">
        <f>S26*0.095</f>
        <v>2977.6087499999999</v>
      </c>
      <c r="T7" s="3">
        <f t="shared" ref="T7:Z7" si="7">T26*0.095</f>
        <v>3668.4139800000007</v>
      </c>
      <c r="U7" s="3">
        <f t="shared" si="7"/>
        <v>4278.4712248740007</v>
      </c>
      <c r="V7" s="3">
        <f t="shared" si="7"/>
        <v>4896.7103168682934</v>
      </c>
      <c r="W7" s="3">
        <f t="shared" si="7"/>
        <v>5501.4540410015288</v>
      </c>
      <c r="X7" s="3">
        <f t="shared" si="7"/>
        <v>6007.5878127736705</v>
      </c>
      <c r="Y7" s="3">
        <f t="shared" si="7"/>
        <v>6560.2858915488487</v>
      </c>
      <c r="Z7" s="3">
        <f t="shared" si="7"/>
        <v>7163.8321935713439</v>
      </c>
      <c r="AB7" t="s">
        <v>1</v>
      </c>
      <c r="AC7" s="5">
        <f>AC6/Sheet1!B3</f>
        <v>15.520820345546214</v>
      </c>
    </row>
    <row r="8" spans="1:29" x14ac:dyDescent="0.3">
      <c r="A8" t="s">
        <v>22</v>
      </c>
      <c r="B8" s="3">
        <f t="shared" ref="B8:L8" si="8">+B5+B6+B7</f>
        <v>0</v>
      </c>
      <c r="C8" s="3">
        <f t="shared" si="8"/>
        <v>0</v>
      </c>
      <c r="D8" s="3">
        <f t="shared" si="8"/>
        <v>0</v>
      </c>
      <c r="E8" s="3">
        <f t="shared" si="8"/>
        <v>0</v>
      </c>
      <c r="F8" s="3">
        <f t="shared" si="8"/>
        <v>583.09999999999991</v>
      </c>
      <c r="G8" s="3">
        <f t="shared" si="8"/>
        <v>794</v>
      </c>
      <c r="H8" s="3">
        <f t="shared" si="8"/>
        <v>879.9</v>
      </c>
      <c r="I8" s="3">
        <f t="shared" si="8"/>
        <v>872.2</v>
      </c>
      <c r="J8" s="3">
        <f t="shared" si="8"/>
        <v>967.8</v>
      </c>
      <c r="K8" s="3">
        <f t="shared" si="8"/>
        <v>1086.5999999999999</v>
      </c>
      <c r="L8" s="3">
        <f t="shared" si="8"/>
        <v>1222</v>
      </c>
      <c r="M8" s="3">
        <f>+M5+M6+M7</f>
        <v>1261.7</v>
      </c>
      <c r="P8" s="3">
        <f t="shared" ref="P8:Z8" si="9">+P5+P6+P7</f>
        <v>0</v>
      </c>
      <c r="Q8" s="3">
        <f t="shared" si="9"/>
        <v>3129.241</v>
      </c>
      <c r="R8" s="3">
        <f>+R5+R6+R7</f>
        <v>4538.0730000000003</v>
      </c>
      <c r="S8" s="3">
        <f t="shared" si="9"/>
        <v>6036.0242499999995</v>
      </c>
      <c r="T8" s="3">
        <f t="shared" si="9"/>
        <v>7400.2783800000016</v>
      </c>
      <c r="U8" s="3">
        <f t="shared" si="9"/>
        <v>8608.8065809020009</v>
      </c>
      <c r="V8" s="3">
        <f t="shared" si="9"/>
        <v>9826.5982066719407</v>
      </c>
      <c r="W8" s="3">
        <f t="shared" si="9"/>
        <v>11018.801996306767</v>
      </c>
      <c r="X8" s="3">
        <f t="shared" si="9"/>
        <v>12019.703126633496</v>
      </c>
      <c r="Y8" s="3">
        <f t="shared" si="9"/>
        <v>13112.045728283607</v>
      </c>
      <c r="Z8" s="3">
        <f t="shared" si="9"/>
        <v>14304.21034498552</v>
      </c>
    </row>
    <row r="9" spans="1:29" x14ac:dyDescent="0.3">
      <c r="A9" s="2" t="s">
        <v>23</v>
      </c>
      <c r="B9" s="4">
        <f t="shared" ref="B9:L9" si="10">+B4-B8</f>
        <v>0</v>
      </c>
      <c r="C9" s="4">
        <f t="shared" si="10"/>
        <v>0</v>
      </c>
      <c r="D9" s="4">
        <f t="shared" si="10"/>
        <v>0</v>
      </c>
      <c r="E9" s="4">
        <f t="shared" si="10"/>
        <v>0</v>
      </c>
      <c r="F9" s="4">
        <f t="shared" si="10"/>
        <v>294.10000000000014</v>
      </c>
      <c r="G9" s="4">
        <f t="shared" si="10"/>
        <v>363.5</v>
      </c>
      <c r="H9" s="4">
        <f t="shared" si="10"/>
        <v>427.00000000000011</v>
      </c>
      <c r="I9" s="4">
        <f t="shared" si="10"/>
        <v>578.29999999999995</v>
      </c>
      <c r="J9" s="4">
        <f t="shared" si="10"/>
        <v>650.90000000000009</v>
      </c>
      <c r="K9" s="4">
        <f t="shared" si="10"/>
        <v>782</v>
      </c>
      <c r="L9" s="4">
        <f t="shared" si="10"/>
        <v>914.80000000000018</v>
      </c>
      <c r="M9" s="4">
        <f>+M4-M8</f>
        <v>1143.2</v>
      </c>
      <c r="P9" s="4">
        <f t="shared" ref="P9:Z9" si="11">+P4-P8</f>
        <v>0</v>
      </c>
      <c r="Q9" s="4">
        <f t="shared" si="11"/>
        <v>1662.9899999999998</v>
      </c>
      <c r="R9" s="4">
        <f>+R4-R8</f>
        <v>3490.9030000000002</v>
      </c>
      <c r="S9" s="4">
        <f t="shared" si="11"/>
        <v>5505.6287499999989</v>
      </c>
      <c r="T9" s="4">
        <f t="shared" si="11"/>
        <v>7465.3706839999959</v>
      </c>
      <c r="U9" s="4">
        <f t="shared" si="11"/>
        <v>8404.9287728459967</v>
      </c>
      <c r="V9" s="4">
        <f t="shared" si="11"/>
        <v>9645.6219056926457</v>
      </c>
      <c r="W9" s="4">
        <f t="shared" si="11"/>
        <v>10858.237299934848</v>
      </c>
      <c r="X9" s="4">
        <f t="shared" si="11"/>
        <v>11870.023784862351</v>
      </c>
      <c r="Y9" s="4">
        <f t="shared" si="11"/>
        <v>12975.536059069858</v>
      </c>
      <c r="Z9" s="4">
        <f t="shared" si="11"/>
        <v>14183.428966804466</v>
      </c>
    </row>
    <row r="10" spans="1:29" x14ac:dyDescent="0.3">
      <c r="A10" t="s">
        <v>26</v>
      </c>
      <c r="B10" s="3"/>
      <c r="C10" s="3"/>
      <c r="D10" s="3"/>
      <c r="E10" s="3"/>
      <c r="F10" s="3">
        <v>61.6</v>
      </c>
      <c r="G10" s="3">
        <v>77.7</v>
      </c>
      <c r="H10" s="3">
        <v>90.2</v>
      </c>
      <c r="I10" s="3">
        <v>105.8</v>
      </c>
      <c r="J10" s="3">
        <v>107.8</v>
      </c>
      <c r="K10" s="3">
        <v>113.3</v>
      </c>
      <c r="L10" s="3">
        <v>127.3</v>
      </c>
      <c r="M10" s="3">
        <v>139.69999999999999</v>
      </c>
      <c r="Q10" s="3">
        <v>335.363</v>
      </c>
      <c r="R10" s="3">
        <v>488.08199999999999</v>
      </c>
      <c r="S10" s="3">
        <f>S4*0.066</f>
        <v>761.74909799999989</v>
      </c>
      <c r="T10" s="3">
        <f t="shared" ref="T10:Z10" si="12">T4*0.066</f>
        <v>981.1328382239999</v>
      </c>
      <c r="U10" s="3">
        <f t="shared" si="12"/>
        <v>1122.9065333473679</v>
      </c>
      <c r="V10" s="3">
        <f t="shared" si="12"/>
        <v>1285.1665274160628</v>
      </c>
      <c r="W10" s="3">
        <f t="shared" si="12"/>
        <v>1443.8845935519466</v>
      </c>
      <c r="X10" s="3">
        <f t="shared" si="12"/>
        <v>1576.721976158726</v>
      </c>
      <c r="Y10" s="3">
        <f t="shared" si="12"/>
        <v>1721.7803979653288</v>
      </c>
      <c r="Z10" s="3">
        <f t="shared" si="12"/>
        <v>1880.1841945781391</v>
      </c>
    </row>
    <row r="11" spans="1:29" x14ac:dyDescent="0.3">
      <c r="A11" t="s">
        <v>27</v>
      </c>
      <c r="B11" s="3"/>
      <c r="C11" s="3"/>
      <c r="D11" s="3"/>
      <c r="E11" s="3"/>
      <c r="F11" s="3">
        <v>245.1</v>
      </c>
      <c r="G11" s="3">
        <v>229.5</v>
      </c>
      <c r="H11" s="3">
        <v>261.8</v>
      </c>
      <c r="I11" s="3">
        <v>596.9</v>
      </c>
      <c r="J11" s="3">
        <v>236.9</v>
      </c>
      <c r="K11" s="3">
        <v>256.39999999999998</v>
      </c>
      <c r="L11" s="3">
        <v>264.3</v>
      </c>
      <c r="M11" s="3">
        <v>284.7</v>
      </c>
      <c r="P11" s="3"/>
      <c r="Q11" s="3">
        <v>1333.2670000000001</v>
      </c>
      <c r="R11" s="3">
        <v>1042.29</v>
      </c>
      <c r="S11" s="3">
        <f>R11*1.035</f>
        <v>1078.7701499999998</v>
      </c>
      <c r="T11" s="3">
        <f t="shared" ref="T11:Z11" si="13">S11*1.035</f>
        <v>1116.5271052499997</v>
      </c>
      <c r="U11" s="3">
        <f t="shared" si="13"/>
        <v>1155.6055539337497</v>
      </c>
      <c r="V11" s="3">
        <f t="shared" si="13"/>
        <v>1196.0517483214308</v>
      </c>
      <c r="W11" s="3">
        <f t="shared" si="13"/>
        <v>1237.9135595126806</v>
      </c>
      <c r="X11" s="3">
        <f t="shared" si="13"/>
        <v>1281.2405340956243</v>
      </c>
      <c r="Y11" s="3">
        <f t="shared" si="13"/>
        <v>1326.0839527889711</v>
      </c>
      <c r="Z11" s="3">
        <f t="shared" si="13"/>
        <v>1372.496891136585</v>
      </c>
    </row>
    <row r="12" spans="1:29" x14ac:dyDescent="0.3">
      <c r="A12" t="s">
        <v>28</v>
      </c>
      <c r="B12" s="3"/>
      <c r="C12" s="3"/>
      <c r="D12" s="3"/>
      <c r="E12" s="3"/>
      <c r="F12" s="3">
        <v>27.6</v>
      </c>
      <c r="G12" s="3">
        <v>36.200000000000003</v>
      </c>
      <c r="H12" s="3">
        <v>38.1</v>
      </c>
      <c r="I12" s="3">
        <v>51.1</v>
      </c>
      <c r="J12" s="3">
        <v>19.3</v>
      </c>
      <c r="K12" s="3">
        <v>33.9</v>
      </c>
      <c r="L12" s="3">
        <v>46.5</v>
      </c>
      <c r="M12" s="3">
        <v>71.3</v>
      </c>
      <c r="P12" s="3"/>
      <c r="Q12" s="3">
        <v>152.99700000000001</v>
      </c>
      <c r="R12" s="3">
        <v>171.02199999999999</v>
      </c>
      <c r="S12" s="3">
        <f>R12*1.04</f>
        <v>177.86287999999999</v>
      </c>
      <c r="T12" s="3">
        <f t="shared" ref="T12:Z12" si="14">S12*1.04</f>
        <v>184.97739519999999</v>
      </c>
      <c r="U12" s="3">
        <f t="shared" si="14"/>
        <v>192.37649100799999</v>
      </c>
      <c r="V12" s="3">
        <f t="shared" si="14"/>
        <v>200.07155064832</v>
      </c>
      <c r="W12" s="3">
        <f t="shared" si="14"/>
        <v>208.07441267425281</v>
      </c>
      <c r="X12" s="3">
        <f t="shared" si="14"/>
        <v>216.39738918122293</v>
      </c>
      <c r="Y12" s="3">
        <f t="shared" si="14"/>
        <v>225.05328474847187</v>
      </c>
      <c r="Z12" s="3">
        <f t="shared" si="14"/>
        <v>234.05541613841075</v>
      </c>
    </row>
    <row r="13" spans="1:29" x14ac:dyDescent="0.3">
      <c r="A13" t="s">
        <v>29</v>
      </c>
      <c r="B13" s="3"/>
      <c r="C13" s="3"/>
      <c r="D13" s="3"/>
      <c r="E13" s="3"/>
      <c r="F13" s="3">
        <v>27.5</v>
      </c>
      <c r="G13" s="3">
        <v>44.7</v>
      </c>
      <c r="H13" s="3">
        <v>31.8</v>
      </c>
      <c r="I13" s="3">
        <v>46.3</v>
      </c>
      <c r="J13" s="3">
        <v>43.3</v>
      </c>
      <c r="K13" s="3">
        <v>54.4</v>
      </c>
      <c r="L13" s="3">
        <v>65.2</v>
      </c>
      <c r="M13" s="3">
        <v>87.5</v>
      </c>
      <c r="P13" s="3"/>
      <c r="Q13" s="3">
        <v>150.26400000000001</v>
      </c>
      <c r="R13" s="3">
        <v>250.43100000000001</v>
      </c>
      <c r="S13" s="3">
        <f>R13*0.99</f>
        <v>247.92669000000001</v>
      </c>
      <c r="T13" s="3">
        <f t="shared" ref="T13:Z13" si="15">S13*0.99</f>
        <v>245.44742310000001</v>
      </c>
      <c r="U13" s="3">
        <f t="shared" si="15"/>
        <v>242.992948869</v>
      </c>
      <c r="V13" s="3">
        <f t="shared" si="15"/>
        <v>240.56301938031001</v>
      </c>
      <c r="W13" s="3">
        <f t="shared" si="15"/>
        <v>238.15738918650692</v>
      </c>
      <c r="X13" s="3">
        <f t="shared" si="15"/>
        <v>235.77581529464186</v>
      </c>
      <c r="Y13" s="3">
        <f t="shared" si="15"/>
        <v>233.41805714169544</v>
      </c>
      <c r="Z13" s="3">
        <f t="shared" si="15"/>
        <v>231.08387657027848</v>
      </c>
    </row>
    <row r="14" spans="1:29" x14ac:dyDescent="0.3">
      <c r="A14" t="s">
        <v>30</v>
      </c>
      <c r="B14" s="3">
        <f t="shared" ref="B14:M14" si="16">SUM(B10:B13)</f>
        <v>0</v>
      </c>
      <c r="C14" s="3">
        <f t="shared" si="16"/>
        <v>0</v>
      </c>
      <c r="D14" s="3">
        <f t="shared" si="16"/>
        <v>0</v>
      </c>
      <c r="E14" s="3">
        <f t="shared" si="16"/>
        <v>0</v>
      </c>
      <c r="F14" s="3">
        <f t="shared" si="16"/>
        <v>361.8</v>
      </c>
      <c r="G14" s="3">
        <f t="shared" si="16"/>
        <v>388.09999999999997</v>
      </c>
      <c r="H14" s="3">
        <f t="shared" si="16"/>
        <v>421.90000000000003</v>
      </c>
      <c r="I14" s="3">
        <f t="shared" si="16"/>
        <v>800.09999999999991</v>
      </c>
      <c r="J14" s="3">
        <f t="shared" si="16"/>
        <v>407.3</v>
      </c>
      <c r="K14" s="3">
        <f t="shared" si="16"/>
        <v>457.99999999999994</v>
      </c>
      <c r="L14" s="3">
        <f t="shared" si="16"/>
        <v>503.3</v>
      </c>
      <c r="M14" s="3">
        <f t="shared" si="16"/>
        <v>583.20000000000005</v>
      </c>
      <c r="P14" s="3">
        <f t="shared" ref="P14:Z14" si="17">SUM(P10:P13)</f>
        <v>0</v>
      </c>
      <c r="Q14" s="3">
        <f t="shared" si="17"/>
        <v>1971.8910000000001</v>
      </c>
      <c r="R14" s="3">
        <f t="shared" si="17"/>
        <v>1951.8249999999998</v>
      </c>
      <c r="S14" s="3">
        <f t="shared" si="17"/>
        <v>2266.3088179999995</v>
      </c>
      <c r="T14" s="3">
        <f t="shared" si="17"/>
        <v>2528.0847617739996</v>
      </c>
      <c r="U14" s="3">
        <f t="shared" si="17"/>
        <v>2713.8815271581175</v>
      </c>
      <c r="V14" s="3">
        <f t="shared" si="17"/>
        <v>2921.8528457661232</v>
      </c>
      <c r="W14" s="3">
        <f t="shared" si="17"/>
        <v>3128.0299549253873</v>
      </c>
      <c r="X14" s="3">
        <f t="shared" si="17"/>
        <v>3310.1357147302151</v>
      </c>
      <c r="Y14" s="3">
        <f t="shared" si="17"/>
        <v>3506.3356926444676</v>
      </c>
      <c r="Z14" s="3">
        <f t="shared" si="17"/>
        <v>3717.8203784234129</v>
      </c>
      <c r="AB14" s="3"/>
    </row>
    <row r="15" spans="1:29" x14ac:dyDescent="0.3">
      <c r="A15" s="2" t="s">
        <v>31</v>
      </c>
      <c r="B15" s="4">
        <f t="shared" ref="B15:H15" si="18">+B9-B14</f>
        <v>0</v>
      </c>
      <c r="C15" s="4">
        <f t="shared" si="18"/>
        <v>0</v>
      </c>
      <c r="D15" s="4">
        <f t="shared" si="18"/>
        <v>0</v>
      </c>
      <c r="E15" s="4">
        <f t="shared" si="18"/>
        <v>0</v>
      </c>
      <c r="F15" s="4">
        <f t="shared" si="18"/>
        <v>-67.699999999999875</v>
      </c>
      <c r="G15" s="4">
        <f t="shared" si="18"/>
        <v>-24.599999999999966</v>
      </c>
      <c r="H15" s="4">
        <f t="shared" si="18"/>
        <v>5.1000000000000796</v>
      </c>
      <c r="I15" s="4">
        <f>+I9-I14</f>
        <v>-221.79999999999995</v>
      </c>
      <c r="J15" s="4">
        <f t="shared" ref="J15:M15" si="19">+J9-J14</f>
        <v>243.60000000000008</v>
      </c>
      <c r="K15" s="4">
        <f t="shared" si="19"/>
        <v>324.00000000000006</v>
      </c>
      <c r="L15" s="4">
        <f t="shared" si="19"/>
        <v>411.50000000000017</v>
      </c>
      <c r="M15" s="4">
        <f t="shared" si="19"/>
        <v>560</v>
      </c>
      <c r="P15" s="4">
        <f t="shared" ref="P15:Z15" si="20">+P9-P14</f>
        <v>0</v>
      </c>
      <c r="Q15" s="4">
        <f>+Q9-Q14</f>
        <v>-308.90100000000029</v>
      </c>
      <c r="R15" s="4">
        <f t="shared" si="20"/>
        <v>1539.0780000000004</v>
      </c>
      <c r="S15" s="4">
        <f t="shared" si="20"/>
        <v>3239.3199319999994</v>
      </c>
      <c r="T15" s="4">
        <f t="shared" si="20"/>
        <v>4937.2859222259958</v>
      </c>
      <c r="U15" s="4">
        <f t="shared" si="20"/>
        <v>5691.0472456878797</v>
      </c>
      <c r="V15" s="4">
        <f t="shared" si="20"/>
        <v>6723.7690599265225</v>
      </c>
      <c r="W15" s="4">
        <f t="shared" si="20"/>
        <v>7730.2073450094613</v>
      </c>
      <c r="X15" s="4">
        <f t="shared" si="20"/>
        <v>8559.8880701321359</v>
      </c>
      <c r="Y15" s="4">
        <f t="shared" si="20"/>
        <v>9469.2003664253898</v>
      </c>
      <c r="Z15" s="4">
        <f t="shared" si="20"/>
        <v>10465.608588381052</v>
      </c>
    </row>
    <row r="16" spans="1:29" x14ac:dyDescent="0.3">
      <c r="A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P16" s="3"/>
      <c r="Q16" s="3">
        <v>55.732999999999997</v>
      </c>
      <c r="R16" s="3">
        <v>508.548</v>
      </c>
      <c r="S16" s="3">
        <f>S15*0.22</f>
        <v>712.65038503999983</v>
      </c>
      <c r="T16" s="3">
        <f t="shared" ref="T16:Z16" si="21">T15*0.22</f>
        <v>1086.2029028897191</v>
      </c>
      <c r="U16" s="3">
        <f t="shared" si="21"/>
        <v>1252.0303940513336</v>
      </c>
      <c r="V16" s="3">
        <f t="shared" si="21"/>
        <v>1479.2291931838349</v>
      </c>
      <c r="W16" s="3">
        <f t="shared" si="21"/>
        <v>1700.6456159020815</v>
      </c>
      <c r="X16" s="3">
        <f t="shared" si="21"/>
        <v>1883.1753754290698</v>
      </c>
      <c r="Y16" s="3">
        <f t="shared" si="21"/>
        <v>2083.2240806135856</v>
      </c>
      <c r="Z16" s="3">
        <f t="shared" si="21"/>
        <v>2302.4338894438315</v>
      </c>
    </row>
    <row r="17" spans="1:119" x14ac:dyDescent="0.3">
      <c r="A17" s="2" t="s">
        <v>33</v>
      </c>
      <c r="B17" s="4">
        <f t="shared" ref="B17:L17" si="22">+B15-B16</f>
        <v>0</v>
      </c>
      <c r="C17" s="4">
        <f t="shared" si="22"/>
        <v>0</v>
      </c>
      <c r="D17" s="4">
        <f t="shared" si="22"/>
        <v>0</v>
      </c>
      <c r="E17" s="4">
        <f t="shared" si="22"/>
        <v>0</v>
      </c>
      <c r="F17" s="4">
        <f t="shared" si="22"/>
        <v>-67.699999999999875</v>
      </c>
      <c r="G17" s="4">
        <f t="shared" si="22"/>
        <v>-24.599999999999966</v>
      </c>
      <c r="H17" s="4">
        <f t="shared" si="22"/>
        <v>5.1000000000000796</v>
      </c>
      <c r="I17" s="4">
        <f t="shared" si="22"/>
        <v>-221.79999999999995</v>
      </c>
      <c r="J17" s="4">
        <f t="shared" si="22"/>
        <v>243.60000000000008</v>
      </c>
      <c r="K17" s="4">
        <f t="shared" si="22"/>
        <v>324.00000000000006</v>
      </c>
      <c r="L17" s="4">
        <f t="shared" si="22"/>
        <v>411.50000000000017</v>
      </c>
      <c r="M17" s="4">
        <f>+M15-M16</f>
        <v>560</v>
      </c>
      <c r="N17" s="2"/>
      <c r="O17" s="2"/>
      <c r="P17" s="4">
        <f t="shared" ref="P17:Z17" si="23">+P15-P16</f>
        <v>0</v>
      </c>
      <c r="Q17" s="4">
        <f t="shared" si="23"/>
        <v>-364.6340000000003</v>
      </c>
      <c r="R17" s="4">
        <f>+R15-R16</f>
        <v>1030.5300000000004</v>
      </c>
      <c r="S17" s="4">
        <f t="shared" si="23"/>
        <v>2526.6695469599995</v>
      </c>
      <c r="T17" s="4">
        <f t="shared" si="23"/>
        <v>3851.0830193362767</v>
      </c>
      <c r="U17" s="4">
        <f t="shared" si="23"/>
        <v>4439.0168516365466</v>
      </c>
      <c r="V17" s="4">
        <f t="shared" si="23"/>
        <v>5244.5398667426871</v>
      </c>
      <c r="W17" s="4">
        <f t="shared" si="23"/>
        <v>6029.5617291073795</v>
      </c>
      <c r="X17" s="4">
        <f t="shared" si="23"/>
        <v>6676.7126947030665</v>
      </c>
      <c r="Y17" s="4">
        <f t="shared" si="23"/>
        <v>7385.9762858118047</v>
      </c>
      <c r="Z17" s="4">
        <f t="shared" si="23"/>
        <v>8163.1746989372205</v>
      </c>
      <c r="AA17" s="4">
        <f>Z17*(1+$AC$3)</f>
        <v>8244.8064459265934</v>
      </c>
      <c r="AB17" s="4">
        <f t="shared" ref="AB17:CM17" si="24">AA17*(1+$AC$3)</f>
        <v>8327.2545103858592</v>
      </c>
      <c r="AC17" s="4">
        <f t="shared" si="24"/>
        <v>8410.5270554897179</v>
      </c>
      <c r="AD17" s="4">
        <f t="shared" si="24"/>
        <v>8494.6323260446152</v>
      </c>
      <c r="AE17" s="4">
        <f t="shared" si="24"/>
        <v>8579.5786493050618</v>
      </c>
      <c r="AF17" s="4">
        <f t="shared" si="24"/>
        <v>8665.3744357981122</v>
      </c>
      <c r="AG17" s="4">
        <f t="shared" si="24"/>
        <v>8752.0281801560941</v>
      </c>
      <c r="AH17" s="4">
        <f t="shared" si="24"/>
        <v>8839.5484619576546</v>
      </c>
      <c r="AI17" s="4">
        <f t="shared" si="24"/>
        <v>8927.9439465772321</v>
      </c>
      <c r="AJ17" s="4">
        <f t="shared" si="24"/>
        <v>9017.2233860430042</v>
      </c>
      <c r="AK17" s="4">
        <f t="shared" si="24"/>
        <v>9107.3956199034346</v>
      </c>
      <c r="AL17" s="4">
        <f t="shared" si="24"/>
        <v>9198.4695761024686</v>
      </c>
      <c r="AM17" s="4">
        <f t="shared" si="24"/>
        <v>9290.454271863493</v>
      </c>
      <c r="AN17" s="4">
        <f t="shared" si="24"/>
        <v>9383.3588145821286</v>
      </c>
      <c r="AO17" s="4">
        <f t="shared" si="24"/>
        <v>9477.1924027279492</v>
      </c>
      <c r="AP17" s="4">
        <f t="shared" si="24"/>
        <v>9571.9643267552292</v>
      </c>
      <c r="AQ17" s="4">
        <f t="shared" si="24"/>
        <v>9667.6839700227811</v>
      </c>
      <c r="AR17" s="4">
        <f t="shared" si="24"/>
        <v>9764.3608097230081</v>
      </c>
      <c r="AS17" s="4">
        <f t="shared" si="24"/>
        <v>9862.0044178202388</v>
      </c>
      <c r="AT17" s="4">
        <f t="shared" si="24"/>
        <v>9960.6244619984409</v>
      </c>
      <c r="AU17" s="4">
        <f t="shared" si="24"/>
        <v>10060.230706618426</v>
      </c>
      <c r="AV17" s="4">
        <f t="shared" si="24"/>
        <v>10160.833013684611</v>
      </c>
      <c r="AW17" s="4">
        <f t="shared" si="24"/>
        <v>10262.441343821456</v>
      </c>
      <c r="AX17" s="4">
        <f t="shared" si="24"/>
        <v>10365.06575725967</v>
      </c>
      <c r="AY17" s="4">
        <f t="shared" si="24"/>
        <v>10468.716414832266</v>
      </c>
      <c r="AZ17" s="4">
        <f t="shared" si="24"/>
        <v>10573.403578980589</v>
      </c>
      <c r="BA17" s="4">
        <f t="shared" si="24"/>
        <v>10679.137614770396</v>
      </c>
      <c r="BB17" s="4">
        <f t="shared" si="24"/>
        <v>10785.928990918101</v>
      </c>
      <c r="BC17" s="4">
        <f t="shared" si="24"/>
        <v>10893.788280827283</v>
      </c>
      <c r="BD17" s="4">
        <f t="shared" si="24"/>
        <v>11002.726163635556</v>
      </c>
      <c r="BE17" s="4">
        <f t="shared" si="24"/>
        <v>11112.753425271912</v>
      </c>
      <c r="BF17" s="4">
        <f t="shared" si="24"/>
        <v>11223.880959524631</v>
      </c>
      <c r="BG17" s="4">
        <f t="shared" si="24"/>
        <v>11336.119769119878</v>
      </c>
      <c r="BH17" s="4">
        <f t="shared" si="24"/>
        <v>11449.480966811077</v>
      </c>
      <c r="BI17" s="4">
        <f t="shared" si="24"/>
        <v>11563.975776479188</v>
      </c>
      <c r="BJ17" s="4">
        <f t="shared" si="24"/>
        <v>11679.61553424398</v>
      </c>
      <c r="BK17" s="4">
        <f t="shared" si="24"/>
        <v>11796.411689586419</v>
      </c>
      <c r="BL17" s="4">
        <f t="shared" si="24"/>
        <v>11914.375806482283</v>
      </c>
      <c r="BM17" s="4">
        <f t="shared" si="24"/>
        <v>12033.519564547107</v>
      </c>
      <c r="BN17" s="4">
        <f t="shared" si="24"/>
        <v>12153.854760192578</v>
      </c>
      <c r="BO17" s="4">
        <f t="shared" si="24"/>
        <v>12275.393307794504</v>
      </c>
      <c r="BP17" s="4">
        <f t="shared" si="24"/>
        <v>12398.147240872449</v>
      </c>
      <c r="BQ17" s="4">
        <f t="shared" si="24"/>
        <v>12522.128713281174</v>
      </c>
      <c r="BR17" s="4">
        <f t="shared" si="24"/>
        <v>12647.350000413986</v>
      </c>
      <c r="BS17" s="4">
        <f t="shared" si="24"/>
        <v>12773.823500418126</v>
      </c>
      <c r="BT17" s="4">
        <f t="shared" si="24"/>
        <v>12901.561735422307</v>
      </c>
      <c r="BU17" s="4">
        <f t="shared" si="24"/>
        <v>13030.57735277653</v>
      </c>
      <c r="BV17" s="4">
        <f t="shared" si="24"/>
        <v>13160.883126304296</v>
      </c>
      <c r="BW17" s="4">
        <f t="shared" si="24"/>
        <v>13292.491957567339</v>
      </c>
      <c r="BX17" s="4">
        <f t="shared" si="24"/>
        <v>13425.416877143012</v>
      </c>
      <c r="BY17" s="4">
        <f t="shared" si="24"/>
        <v>13559.671045914443</v>
      </c>
      <c r="BZ17" s="4">
        <f t="shared" si="24"/>
        <v>13695.267756373587</v>
      </c>
      <c r="CA17" s="4">
        <f t="shared" si="24"/>
        <v>13832.220433937324</v>
      </c>
      <c r="CB17" s="4">
        <f t="shared" si="24"/>
        <v>13970.542638276696</v>
      </c>
      <c r="CC17" s="4">
        <f t="shared" si="24"/>
        <v>14110.248064659463</v>
      </c>
      <c r="CD17" s="4">
        <f t="shared" si="24"/>
        <v>14251.350545306057</v>
      </c>
      <c r="CE17" s="4">
        <f t="shared" si="24"/>
        <v>14393.864050759117</v>
      </c>
      <c r="CF17" s="4">
        <f t="shared" si="24"/>
        <v>14537.802691266708</v>
      </c>
      <c r="CG17" s="4">
        <f t="shared" si="24"/>
        <v>14683.180718179376</v>
      </c>
      <c r="CH17" s="4">
        <f t="shared" si="24"/>
        <v>14830.01252536117</v>
      </c>
      <c r="CI17" s="4">
        <f t="shared" si="24"/>
        <v>14978.312650614782</v>
      </c>
      <c r="CJ17" s="4">
        <f t="shared" si="24"/>
        <v>15128.095777120931</v>
      </c>
      <c r="CK17" s="4">
        <f t="shared" si="24"/>
        <v>15279.376734892139</v>
      </c>
      <c r="CL17" s="4">
        <f t="shared" si="24"/>
        <v>15432.170502241061</v>
      </c>
      <c r="CM17" s="4">
        <f t="shared" si="24"/>
        <v>15586.492207263471</v>
      </c>
      <c r="CN17" s="4">
        <f t="shared" ref="CN17:DO17" si="25">CM17*(1+$AC$3)</f>
        <v>15742.357129336106</v>
      </c>
      <c r="CO17" s="4">
        <f t="shared" si="25"/>
        <v>15899.780700629466</v>
      </c>
      <c r="CP17" s="4">
        <f t="shared" si="25"/>
        <v>16058.778507635761</v>
      </c>
      <c r="CQ17" s="4">
        <f t="shared" si="25"/>
        <v>16219.366292712119</v>
      </c>
      <c r="CR17" s="4">
        <f t="shared" si="25"/>
        <v>16381.559955639241</v>
      </c>
      <c r="CS17" s="4">
        <f t="shared" si="25"/>
        <v>16545.375555195635</v>
      </c>
      <c r="CT17" s="4">
        <f t="shared" si="25"/>
        <v>16710.829310747591</v>
      </c>
      <c r="CU17" s="4">
        <f t="shared" si="25"/>
        <v>16877.937603855065</v>
      </c>
      <c r="CV17" s="4">
        <f t="shared" si="25"/>
        <v>17046.716979893616</v>
      </c>
      <c r="CW17" s="4">
        <f t="shared" si="25"/>
        <v>17217.184149692552</v>
      </c>
      <c r="CX17" s="4">
        <f t="shared" si="25"/>
        <v>17389.355991189477</v>
      </c>
      <c r="CY17" s="4">
        <f t="shared" si="25"/>
        <v>17563.249551101373</v>
      </c>
      <c r="CZ17" s="4">
        <f t="shared" si="25"/>
        <v>17738.882046612387</v>
      </c>
      <c r="DA17" s="4">
        <f t="shared" si="25"/>
        <v>17916.27086707851</v>
      </c>
      <c r="DB17" s="4">
        <f t="shared" si="25"/>
        <v>18095.433575749295</v>
      </c>
      <c r="DC17" s="4">
        <f t="shared" si="25"/>
        <v>18276.38791150679</v>
      </c>
      <c r="DD17" s="4">
        <f t="shared" si="25"/>
        <v>18459.151790621858</v>
      </c>
      <c r="DE17" s="4">
        <f t="shared" si="25"/>
        <v>18643.743308528075</v>
      </c>
      <c r="DF17" s="4">
        <f t="shared" si="25"/>
        <v>18830.180741613356</v>
      </c>
      <c r="DG17" s="4">
        <f t="shared" si="25"/>
        <v>19018.48254902949</v>
      </c>
      <c r="DH17" s="4">
        <f t="shared" si="25"/>
        <v>19208.667374519784</v>
      </c>
      <c r="DI17" s="4">
        <f t="shared" si="25"/>
        <v>19400.754048264982</v>
      </c>
      <c r="DJ17" s="4">
        <f t="shared" si="25"/>
        <v>19594.761588747631</v>
      </c>
      <c r="DK17" s="4">
        <f t="shared" si="25"/>
        <v>19790.709204635106</v>
      </c>
      <c r="DL17" s="4">
        <f t="shared" si="25"/>
        <v>19988.616296681459</v>
      </c>
      <c r="DM17" s="4">
        <f t="shared" si="25"/>
        <v>20188.502459648273</v>
      </c>
      <c r="DN17" s="4">
        <f t="shared" si="25"/>
        <v>20390.387484244755</v>
      </c>
      <c r="DO17" s="4">
        <f t="shared" si="25"/>
        <v>20594.291359087201</v>
      </c>
    </row>
    <row r="20" spans="1:119" x14ac:dyDescent="0.3">
      <c r="A20" t="s">
        <v>25</v>
      </c>
      <c r="B20" s="1"/>
      <c r="C20" s="1"/>
      <c r="D20" s="1"/>
      <c r="E20" s="1"/>
      <c r="F20" s="1">
        <f t="shared" ref="B20:M20" si="26">(F2-F5)/F2</f>
        <v>0.55925088795608657</v>
      </c>
      <c r="G20" s="1">
        <f t="shared" si="26"/>
        <v>0.52227432590855805</v>
      </c>
      <c r="H20" s="1">
        <f t="shared" si="26"/>
        <v>0.53418413855970825</v>
      </c>
      <c r="I20" s="1">
        <f t="shared" si="26"/>
        <v>0.62802373345504336</v>
      </c>
      <c r="J20" s="1">
        <f t="shared" si="26"/>
        <v>0.64938271604938269</v>
      </c>
      <c r="K20" s="1">
        <f t="shared" si="26"/>
        <v>0.69777363018264238</v>
      </c>
      <c r="L20" s="1">
        <f t="shared" si="26"/>
        <v>0.68973278697985796</v>
      </c>
      <c r="M20" s="1">
        <f t="shared" si="26"/>
        <v>0.68964280223440777</v>
      </c>
      <c r="P20" s="1" t="e">
        <f t="shared" ref="P20:Z20" si="27">(P2-P5)/P2</f>
        <v>#DIV/0!</v>
      </c>
      <c r="Q20" s="1">
        <f t="shared" si="27"/>
        <v>0.56461033417688333</v>
      </c>
      <c r="R20" s="1">
        <f t="shared" si="27"/>
        <v>0.68369315273726528</v>
      </c>
      <c r="S20" s="1" t="e">
        <f t="shared" si="27"/>
        <v>#DIV/0!</v>
      </c>
      <c r="T20" s="1" t="e">
        <f t="shared" si="27"/>
        <v>#DIV/0!</v>
      </c>
      <c r="U20" s="1" t="e">
        <f t="shared" si="27"/>
        <v>#DIV/0!</v>
      </c>
      <c r="V20" s="1" t="e">
        <f t="shared" si="27"/>
        <v>#DIV/0!</v>
      </c>
      <c r="W20" s="1" t="e">
        <f t="shared" si="27"/>
        <v>#DIV/0!</v>
      </c>
      <c r="X20" s="1" t="e">
        <f t="shared" si="27"/>
        <v>#DIV/0!</v>
      </c>
      <c r="Y20" s="1" t="e">
        <f t="shared" si="27"/>
        <v>#DIV/0!</v>
      </c>
      <c r="Z20" s="1" t="e">
        <f t="shared" si="27"/>
        <v>#DIV/0!</v>
      </c>
    </row>
    <row r="21" spans="1:119" x14ac:dyDescent="0.3">
      <c r="A21" t="s">
        <v>24</v>
      </c>
      <c r="B21" s="1"/>
      <c r="C21" s="1"/>
      <c r="D21" s="1"/>
      <c r="E21" s="1"/>
      <c r="F21" s="1">
        <f t="shared" ref="B21:L21" si="28">F9/F4</f>
        <v>0.33527131782945752</v>
      </c>
      <c r="G21" s="1">
        <f t="shared" si="28"/>
        <v>0.31403887688984883</v>
      </c>
      <c r="H21" s="1">
        <f t="shared" si="28"/>
        <v>0.32672737011247999</v>
      </c>
      <c r="I21" s="1">
        <f t="shared" si="28"/>
        <v>0.39869010685970352</v>
      </c>
      <c r="J21" s="1">
        <f t="shared" si="28"/>
        <v>0.40211280657317605</v>
      </c>
      <c r="K21" s="1">
        <f t="shared" si="28"/>
        <v>0.41849513004388317</v>
      </c>
      <c r="L21" s="1">
        <f t="shared" si="28"/>
        <v>0.42811681018345193</v>
      </c>
      <c r="M21" s="1">
        <f>M9/M4</f>
        <v>0.47536280094806438</v>
      </c>
      <c r="P21" s="1" t="e">
        <f t="shared" ref="P21:Z21" si="29">P9/P4</f>
        <v>#DIV/0!</v>
      </c>
      <c r="Q21" s="1">
        <f t="shared" si="29"/>
        <v>0.34701791295119117</v>
      </c>
      <c r="R21" s="1">
        <f>R9/R4</f>
        <v>0.43478807260103902</v>
      </c>
      <c r="S21" s="1">
        <f t="shared" si="29"/>
        <v>0.47702255040937375</v>
      </c>
      <c r="T21" s="1">
        <f t="shared" si="29"/>
        <v>0.50218935290749023</v>
      </c>
      <c r="U21" s="1">
        <f t="shared" si="29"/>
        <v>0.49400843483758872</v>
      </c>
      <c r="V21" s="1">
        <f t="shared" si="29"/>
        <v>0.49535296181085231</v>
      </c>
      <c r="W21" s="1">
        <f t="shared" si="29"/>
        <v>0.49633029190564409</v>
      </c>
      <c r="X21" s="1">
        <f t="shared" si="29"/>
        <v>0.49686728646322198</v>
      </c>
      <c r="Y21" s="1">
        <f t="shared" si="29"/>
        <v>0.49738362738397002</v>
      </c>
      <c r="Z21" s="1">
        <f t="shared" si="29"/>
        <v>0.49788010903853541</v>
      </c>
    </row>
    <row r="22" spans="1:119" x14ac:dyDescent="0.3">
      <c r="A22" t="s">
        <v>34</v>
      </c>
      <c r="B22" s="1"/>
      <c r="C22" s="1"/>
      <c r="D22" s="1"/>
      <c r="E22" s="1"/>
      <c r="F22" s="1">
        <f t="shared" ref="B22:L22" si="30">+F15/F4</f>
        <v>-7.7177382580939202E-2</v>
      </c>
      <c r="G22" s="1">
        <f t="shared" si="30"/>
        <v>-2.125269978401725E-2</v>
      </c>
      <c r="H22" s="1">
        <f t="shared" si="30"/>
        <v>3.9023643737088371E-3</v>
      </c>
      <c r="I22" s="1">
        <f t="shared" si="30"/>
        <v>-0.1529127886935539</v>
      </c>
      <c r="J22" s="1">
        <f t="shared" si="30"/>
        <v>0.1504911348613085</v>
      </c>
      <c r="K22" s="1">
        <f t="shared" si="30"/>
        <v>0.1733918441614043</v>
      </c>
      <c r="L22" s="1">
        <f t="shared" si="30"/>
        <v>0.19257768625982785</v>
      </c>
      <c r="M22" s="1">
        <f>+M15/M4</f>
        <v>0.23285791509002451</v>
      </c>
      <c r="P22" s="1" t="e">
        <f t="shared" ref="P22:Z22" si="31">+P15/P4</f>
        <v>#DIV/0!</v>
      </c>
      <c r="Q22" s="1">
        <f t="shared" si="31"/>
        <v>-6.4458704098362601E-2</v>
      </c>
      <c r="R22" s="1">
        <f>+R15/R4</f>
        <v>0.19169044720024075</v>
      </c>
      <c r="S22" s="1">
        <f t="shared" si="31"/>
        <v>0.2806634311393697</v>
      </c>
      <c r="T22" s="1">
        <f t="shared" si="31"/>
        <v>0.3321271678733877</v>
      </c>
      <c r="U22" s="1">
        <f t="shared" si="31"/>
        <v>0.33449722399932502</v>
      </c>
      <c r="V22" s="1">
        <f t="shared" si="31"/>
        <v>0.34530058828048188</v>
      </c>
      <c r="W22" s="1">
        <f t="shared" si="31"/>
        <v>0.35334796634650095</v>
      </c>
      <c r="X22" s="1">
        <f t="shared" si="31"/>
        <v>0.35830832649715549</v>
      </c>
      <c r="Y22" s="1">
        <f t="shared" si="31"/>
        <v>0.36297731401903244</v>
      </c>
      <c r="Z22" s="1">
        <f t="shared" si="31"/>
        <v>0.36737366946546957</v>
      </c>
    </row>
    <row r="23" spans="1:119" x14ac:dyDescent="0.3">
      <c r="A23" t="s">
        <v>35</v>
      </c>
      <c r="B23" s="1"/>
      <c r="C23" s="1"/>
      <c r="D23" s="1"/>
      <c r="E23" s="1"/>
      <c r="F23" s="1">
        <f t="shared" ref="B23:L23" si="32">+F17/F4</f>
        <v>-7.7177382580939202E-2</v>
      </c>
      <c r="G23" s="1">
        <f t="shared" si="32"/>
        <v>-2.125269978401725E-2</v>
      </c>
      <c r="H23" s="1">
        <f t="shared" si="32"/>
        <v>3.9023643737088371E-3</v>
      </c>
      <c r="I23" s="1">
        <f t="shared" si="32"/>
        <v>-0.1529127886935539</v>
      </c>
      <c r="J23" s="1">
        <f t="shared" si="32"/>
        <v>0.1504911348613085</v>
      </c>
      <c r="K23" s="1">
        <f t="shared" si="32"/>
        <v>0.1733918441614043</v>
      </c>
      <c r="L23" s="1">
        <f t="shared" si="32"/>
        <v>0.19257768625982785</v>
      </c>
      <c r="M23" s="1">
        <f>+M17/M4</f>
        <v>0.23285791509002451</v>
      </c>
      <c r="P23" s="1" t="e">
        <f t="shared" ref="P23:Z23" si="33">+P17/P4</f>
        <v>#DIV/0!</v>
      </c>
      <c r="Q23" s="1">
        <f t="shared" si="33"/>
        <v>-7.6088569186251731E-2</v>
      </c>
      <c r="R23" s="1">
        <f>+R17/R4</f>
        <v>0.12835136136912109</v>
      </c>
      <c r="S23" s="1">
        <f t="shared" si="33"/>
        <v>0.21891747628870836</v>
      </c>
      <c r="T23" s="1">
        <f t="shared" si="33"/>
        <v>0.25905919094124241</v>
      </c>
      <c r="U23" s="1">
        <f t="shared" si="33"/>
        <v>0.26090783471947354</v>
      </c>
      <c r="V23" s="1">
        <f t="shared" si="33"/>
        <v>0.26933445885877583</v>
      </c>
      <c r="W23" s="1">
        <f t="shared" si="33"/>
        <v>0.27561141375027071</v>
      </c>
      <c r="X23" s="1">
        <f t="shared" si="33"/>
        <v>0.2794804946677813</v>
      </c>
      <c r="Y23" s="1">
        <f t="shared" si="33"/>
        <v>0.2831223049348453</v>
      </c>
      <c r="Z23" s="1">
        <f t="shared" si="33"/>
        <v>0.28655146218306626</v>
      </c>
    </row>
    <row r="25" spans="1:119" x14ac:dyDescent="0.3">
      <c r="A25" t="s">
        <v>36</v>
      </c>
      <c r="F25" s="1" t="e">
        <f t="shared" ref="F25:L25" si="34">F4/B4-1</f>
        <v>#DIV/0!</v>
      </c>
      <c r="G25" s="1" t="e">
        <f t="shared" si="34"/>
        <v>#DIV/0!</v>
      </c>
      <c r="H25" s="1" t="e">
        <f t="shared" si="34"/>
        <v>#DIV/0!</v>
      </c>
      <c r="I25" s="1" t="e">
        <f t="shared" si="34"/>
        <v>#DIV/0!</v>
      </c>
      <c r="J25" s="1">
        <f t="shared" si="34"/>
        <v>0.84530323757409942</v>
      </c>
      <c r="K25" s="1">
        <f t="shared" si="34"/>
        <v>0.61434125269978401</v>
      </c>
      <c r="L25" s="1">
        <f t="shared" si="34"/>
        <v>0.63501415563547337</v>
      </c>
      <c r="M25" s="1">
        <f>M4/I4-1</f>
        <v>0.65798000689417457</v>
      </c>
      <c r="P25" s="1">
        <f t="shared" ref="P25" si="35">P4/L4-1</f>
        <v>-1</v>
      </c>
      <c r="Q25" s="1" t="e">
        <f t="shared" ref="Q25:T25" si="36">Q4/P4-1</f>
        <v>#DIV/0!</v>
      </c>
      <c r="R25" s="1">
        <f t="shared" si="36"/>
        <v>0.67541506242082261</v>
      </c>
      <c r="S25" s="1">
        <f t="shared" si="36"/>
        <v>0.43749999999999978</v>
      </c>
      <c r="T25" s="1">
        <f t="shared" si="36"/>
        <v>0.28800000000000003</v>
      </c>
      <c r="U25" s="1">
        <f>U4/T4-1</f>
        <v>0.14450000000000007</v>
      </c>
      <c r="V25" s="1">
        <f t="shared" ref="V25:Z25" si="37">V4/U4-1</f>
        <v>0.14450000000000029</v>
      </c>
      <c r="W25" s="1">
        <f t="shared" si="37"/>
        <v>0.12350000000000017</v>
      </c>
      <c r="X25" s="1">
        <f t="shared" si="37"/>
        <v>9.2000000000000082E-2</v>
      </c>
      <c r="Y25" s="1">
        <f t="shared" si="37"/>
        <v>9.2000000000000082E-2</v>
      </c>
      <c r="Z25" s="1">
        <f t="shared" si="37"/>
        <v>9.2000000000000082E-2</v>
      </c>
    </row>
    <row r="26" spans="1:119" x14ac:dyDescent="0.3">
      <c r="A26" t="s">
        <v>37</v>
      </c>
      <c r="F26" s="3">
        <v>12600</v>
      </c>
      <c r="G26" s="3">
        <v>14600</v>
      </c>
      <c r="H26" s="3">
        <v>14000</v>
      </c>
      <c r="I26" s="3">
        <v>15800</v>
      </c>
      <c r="J26" s="3">
        <v>15800</v>
      </c>
      <c r="K26" s="3">
        <v>18000</v>
      </c>
      <c r="L26" s="3">
        <v>19100</v>
      </c>
      <c r="M26" s="3">
        <v>23700</v>
      </c>
      <c r="N26" s="3"/>
      <c r="O26" s="3"/>
      <c r="P26" s="3"/>
      <c r="Q26" s="3">
        <v>15800</v>
      </c>
      <c r="R26" s="3">
        <v>23700</v>
      </c>
      <c r="S26" s="6">
        <f>S38*S28</f>
        <v>31343.249999999996</v>
      </c>
      <c r="T26" s="6">
        <f t="shared" ref="T26:Z26" si="38">T38*T28</f>
        <v>38614.884000000005</v>
      </c>
      <c r="U26" s="6">
        <f t="shared" si="38"/>
        <v>45036.539209200004</v>
      </c>
      <c r="V26" s="6">
        <f t="shared" si="38"/>
        <v>51544.319124929403</v>
      </c>
      <c r="W26" s="6">
        <f t="shared" si="38"/>
        <v>57910.0425368582</v>
      </c>
      <c r="X26" s="6">
        <f t="shared" si="38"/>
        <v>63237.766450249161</v>
      </c>
      <c r="Y26" s="6">
        <f t="shared" si="38"/>
        <v>69055.640963672093</v>
      </c>
      <c r="Z26" s="6">
        <f t="shared" si="38"/>
        <v>75408.759932329936</v>
      </c>
    </row>
    <row r="27" spans="1:119" x14ac:dyDescent="0.3">
      <c r="A27" t="s">
        <v>39</v>
      </c>
      <c r="R27" s="1">
        <f>+R26/Q26-1</f>
        <v>0.5</v>
      </c>
      <c r="S27" s="1">
        <f t="shared" ref="S27:Z27" si="39">+S26/R26-1</f>
        <v>0.32249999999999979</v>
      </c>
      <c r="T27" s="1">
        <f t="shared" si="39"/>
        <v>0.23200000000000043</v>
      </c>
      <c r="U27" s="1">
        <f t="shared" si="39"/>
        <v>0.16629999999999989</v>
      </c>
      <c r="V27" s="1">
        <f t="shared" si="39"/>
        <v>0.14450000000000007</v>
      </c>
      <c r="W27" s="1">
        <f t="shared" si="39"/>
        <v>0.12350000000000039</v>
      </c>
      <c r="X27" s="1">
        <f t="shared" si="39"/>
        <v>9.2000000000000082E-2</v>
      </c>
      <c r="Y27" s="1">
        <f t="shared" si="39"/>
        <v>9.2000000000000082E-2</v>
      </c>
      <c r="Z27" s="1">
        <f t="shared" si="39"/>
        <v>9.2000000000000082E-2</v>
      </c>
    </row>
    <row r="28" spans="1:119" x14ac:dyDescent="0.3">
      <c r="A28" t="s">
        <v>38</v>
      </c>
      <c r="F28">
        <v>59.6</v>
      </c>
      <c r="G28">
        <v>65.3</v>
      </c>
      <c r="H28">
        <v>70.400000000000006</v>
      </c>
      <c r="I28">
        <v>74.599999999999994</v>
      </c>
      <c r="J28">
        <v>79.099999999999994</v>
      </c>
      <c r="K28">
        <v>83.7</v>
      </c>
      <c r="L28">
        <v>89.1</v>
      </c>
      <c r="M28">
        <v>93.9</v>
      </c>
      <c r="Q28" s="3">
        <v>74.599999999999994</v>
      </c>
      <c r="R28" s="3">
        <v>93.9</v>
      </c>
      <c r="S28" s="3">
        <f>R28*1.15</f>
        <v>107.985</v>
      </c>
      <c r="T28" s="3">
        <f>S28*1.12</f>
        <v>120.9432</v>
      </c>
      <c r="U28" s="3">
        <f>T28*1.09</f>
        <v>131.82808800000001</v>
      </c>
      <c r="V28" s="3">
        <f>U28*1.09</f>
        <v>143.69261592000001</v>
      </c>
      <c r="W28" s="3">
        <f>V28*1.07</f>
        <v>153.75109903440003</v>
      </c>
      <c r="X28" s="3">
        <f>W28*1.04</f>
        <v>159.90114299577604</v>
      </c>
      <c r="Y28" s="3">
        <f t="shared" ref="Y28:Z28" si="40">X28*1.04</f>
        <v>166.29718871560709</v>
      </c>
      <c r="Z28" s="3">
        <f t="shared" si="40"/>
        <v>172.94907626423139</v>
      </c>
    </row>
    <row r="29" spans="1:119" x14ac:dyDescent="0.3">
      <c r="A29" t="s">
        <v>40</v>
      </c>
      <c r="R29" s="1">
        <f>+R28/Q28-1</f>
        <v>0.25871313672922258</v>
      </c>
      <c r="S29" s="1">
        <f t="shared" ref="S29:Z29" si="41">+S28/R28-1</f>
        <v>0.14999999999999991</v>
      </c>
      <c r="T29" s="1">
        <f t="shared" si="41"/>
        <v>0.12000000000000011</v>
      </c>
      <c r="U29" s="1">
        <f t="shared" si="41"/>
        <v>9.000000000000008E-2</v>
      </c>
      <c r="V29" s="1">
        <f t="shared" si="41"/>
        <v>9.000000000000008E-2</v>
      </c>
      <c r="W29" s="1">
        <f t="shared" si="41"/>
        <v>7.0000000000000062E-2</v>
      </c>
      <c r="X29" s="1">
        <f t="shared" si="41"/>
        <v>4.0000000000000036E-2</v>
      </c>
      <c r="Y29" s="1">
        <f t="shared" si="41"/>
        <v>4.0000000000000036E-2</v>
      </c>
      <c r="Z29" s="1">
        <f t="shared" si="41"/>
        <v>4.0000000000000036E-2</v>
      </c>
    </row>
    <row r="31" spans="1:119" x14ac:dyDescent="0.3">
      <c r="A31" t="s">
        <v>41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  <c r="Q31" s="3">
        <v>755.57299999999998</v>
      </c>
      <c r="R31" s="3">
        <v>1266.1890000000001</v>
      </c>
      <c r="S31" s="3"/>
      <c r="T31" s="3"/>
      <c r="U31" s="3"/>
      <c r="V31" s="3"/>
      <c r="W31" s="3"/>
      <c r="X31" s="3"/>
      <c r="Y31" s="3"/>
      <c r="Z31" s="3"/>
    </row>
    <row r="32" spans="1:119" x14ac:dyDescent="0.3">
      <c r="A32" t="s">
        <v>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P32" s="3"/>
      <c r="Q32" s="3">
        <v>20.001000000000001</v>
      </c>
      <c r="R32" s="3">
        <v>20.242999999999999</v>
      </c>
      <c r="S32" s="3"/>
      <c r="T32" s="3"/>
      <c r="U32" s="3"/>
      <c r="V32" s="3"/>
      <c r="W32" s="3"/>
      <c r="X32" s="3"/>
      <c r="Y32" s="3"/>
      <c r="Z32" s="3"/>
    </row>
    <row r="33" spans="1:26" x14ac:dyDescent="0.3">
      <c r="A33" t="s">
        <v>43</v>
      </c>
      <c r="B33" s="3"/>
      <c r="C33" s="3"/>
      <c r="D33" s="3"/>
      <c r="E33" s="3"/>
      <c r="F33" s="3"/>
      <c r="G33" s="3"/>
      <c r="H33" s="3"/>
      <c r="I33" s="3">
        <v>66.099999999999994</v>
      </c>
      <c r="J33" s="3"/>
      <c r="K33" s="3"/>
      <c r="L33" s="3"/>
      <c r="M33" s="3">
        <v>65.900000000000006</v>
      </c>
      <c r="P33" s="3"/>
      <c r="Q33" s="3">
        <v>253.203</v>
      </c>
      <c r="R33" s="3">
        <v>212.55099999999999</v>
      </c>
      <c r="S33" s="3"/>
      <c r="T33" s="3"/>
      <c r="U33" s="3"/>
      <c r="V33" s="3"/>
      <c r="W33" s="3"/>
      <c r="X33" s="3"/>
      <c r="Y33" s="3"/>
      <c r="Z33" s="3"/>
    </row>
    <row r="34" spans="1:26" x14ac:dyDescent="0.3">
      <c r="A34" t="s">
        <v>48</v>
      </c>
      <c r="B34" s="3">
        <f t="shared" ref="B34:L34" si="42">+B31-B32-B33</f>
        <v>0</v>
      </c>
      <c r="C34" s="3">
        <f t="shared" si="42"/>
        <v>0</v>
      </c>
      <c r="D34" s="3">
        <f t="shared" si="42"/>
        <v>0</v>
      </c>
      <c r="E34" s="3">
        <f t="shared" si="42"/>
        <v>0</v>
      </c>
      <c r="F34" s="3">
        <f t="shared" si="42"/>
        <v>0</v>
      </c>
      <c r="G34" s="3">
        <f t="shared" si="42"/>
        <v>0</v>
      </c>
      <c r="H34" s="3">
        <f t="shared" si="42"/>
        <v>0</v>
      </c>
      <c r="I34" s="3">
        <f t="shared" si="42"/>
        <v>-66.099999999999994</v>
      </c>
      <c r="J34" s="3">
        <f t="shared" si="42"/>
        <v>0</v>
      </c>
      <c r="K34" s="3">
        <f t="shared" si="42"/>
        <v>0</v>
      </c>
      <c r="L34" s="3">
        <f t="shared" si="42"/>
        <v>0</v>
      </c>
      <c r="M34" s="3">
        <f>+M31-M32-M33</f>
        <v>-65.900000000000006</v>
      </c>
      <c r="P34" s="3">
        <f t="shared" ref="P34:Z34" si="43">+P31-P32-P33</f>
        <v>0</v>
      </c>
      <c r="Q34" s="3">
        <f t="shared" si="43"/>
        <v>482.36900000000003</v>
      </c>
      <c r="R34" s="3">
        <f>+R31-R32-R33</f>
        <v>1033.3950000000002</v>
      </c>
      <c r="S34" s="3">
        <f t="shared" si="43"/>
        <v>0</v>
      </c>
      <c r="T34" s="3">
        <f t="shared" si="43"/>
        <v>0</v>
      </c>
      <c r="U34" s="3">
        <f t="shared" si="43"/>
        <v>0</v>
      </c>
      <c r="V34" s="3">
        <f t="shared" si="43"/>
        <v>0</v>
      </c>
      <c r="W34" s="3">
        <f t="shared" si="43"/>
        <v>0</v>
      </c>
      <c r="X34" s="3">
        <f t="shared" si="43"/>
        <v>0</v>
      </c>
      <c r="Y34" s="3">
        <f t="shared" si="43"/>
        <v>0</v>
      </c>
      <c r="Z34" s="3">
        <f t="shared" si="43"/>
        <v>0</v>
      </c>
    </row>
    <row r="36" spans="1:26" x14ac:dyDescent="0.3">
      <c r="A36" t="s">
        <v>49</v>
      </c>
      <c r="F36" s="5">
        <f t="shared" ref="F36:L36" si="44">F4/F28</f>
        <v>14.718120805369129</v>
      </c>
      <c r="G36" s="5">
        <f t="shared" si="44"/>
        <v>17.725880551301685</v>
      </c>
      <c r="H36" s="5">
        <f t="shared" si="44"/>
        <v>18.563920454545453</v>
      </c>
      <c r="I36" s="5">
        <f t="shared" si="44"/>
        <v>19.443699731903486</v>
      </c>
      <c r="J36" s="5">
        <f t="shared" si="44"/>
        <v>20.463969658659927</v>
      </c>
      <c r="K36" s="5">
        <f t="shared" si="44"/>
        <v>22.324970131421743</v>
      </c>
      <c r="L36" s="5">
        <f t="shared" si="44"/>
        <v>23.982042648709317</v>
      </c>
      <c r="M36" s="5">
        <f>M4/M28</f>
        <v>25.611288604898828</v>
      </c>
      <c r="Q36" s="5">
        <f>Q4/Q28</f>
        <v>64.239021447721186</v>
      </c>
      <c r="R36" s="5">
        <f>R4/R28</f>
        <v>85.505601703940357</v>
      </c>
      <c r="S36" s="5">
        <f>R36*1.25</f>
        <v>106.88200212992544</v>
      </c>
      <c r="T36" s="5">
        <f>S36*1.15</f>
        <v>122.91430244941425</v>
      </c>
      <c r="U36" s="5">
        <f>T36*1.05</f>
        <v>129.06001757188497</v>
      </c>
      <c r="V36" s="5">
        <f t="shared" ref="V36:Z36" si="45">U36*1.05</f>
        <v>135.51301845047922</v>
      </c>
      <c r="W36" s="5">
        <f t="shared" si="45"/>
        <v>142.28866937300319</v>
      </c>
      <c r="X36" s="5">
        <f t="shared" si="45"/>
        <v>149.40310284165335</v>
      </c>
      <c r="Y36" s="5">
        <f t="shared" si="45"/>
        <v>156.87325798373601</v>
      </c>
      <c r="Z36" s="5">
        <f t="shared" si="45"/>
        <v>164.71692088292281</v>
      </c>
    </row>
    <row r="37" spans="1:26" x14ac:dyDescent="0.3">
      <c r="A37" t="s">
        <v>50</v>
      </c>
      <c r="G37" s="1">
        <f>G36/F36-1</f>
        <v>0.20435759331689507</v>
      </c>
      <c r="H37" s="1">
        <f t="shared" ref="H37:M37" si="46">H36/G36-1</f>
        <v>4.7277758688395677E-2</v>
      </c>
      <c r="I37" s="1">
        <f t="shared" si="46"/>
        <v>4.7391890065043629E-2</v>
      </c>
      <c r="J37" s="1">
        <f t="shared" si="46"/>
        <v>5.2473034495712279E-2</v>
      </c>
      <c r="K37" s="1">
        <f t="shared" si="46"/>
        <v>9.0940345583158999E-2</v>
      </c>
      <c r="L37" s="1">
        <f t="shared" si="46"/>
        <v>7.4225072084432187E-2</v>
      </c>
      <c r="M37" s="1">
        <f t="shared" si="46"/>
        <v>6.7936079509774094E-2</v>
      </c>
      <c r="R37" s="1">
        <f t="shared" ref="R37" si="47">R36/Q36-1</f>
        <v>0.33105392605530692</v>
      </c>
    </row>
    <row r="38" spans="1:26" x14ac:dyDescent="0.3">
      <c r="A38" t="s">
        <v>51</v>
      </c>
      <c r="F38" s="5">
        <f>F26/F28</f>
        <v>211.40939597315435</v>
      </c>
      <c r="G38" s="5">
        <f t="shared" ref="G38:M38" si="48">G26/G28</f>
        <v>223.58346094946401</v>
      </c>
      <c r="H38" s="5">
        <f t="shared" si="48"/>
        <v>198.86363636363635</v>
      </c>
      <c r="I38" s="5">
        <f t="shared" si="48"/>
        <v>211.79624664879358</v>
      </c>
      <c r="J38" s="5">
        <f t="shared" si="48"/>
        <v>199.74715549936789</v>
      </c>
      <c r="K38" s="5">
        <f t="shared" si="48"/>
        <v>215.05376344086019</v>
      </c>
      <c r="L38" s="5">
        <f t="shared" si="48"/>
        <v>214.36588103254772</v>
      </c>
      <c r="M38" s="5">
        <f t="shared" si="48"/>
        <v>252.39616613418528</v>
      </c>
      <c r="N38" s="5"/>
      <c r="O38" s="5"/>
      <c r="P38" s="5"/>
      <c r="Q38" s="5">
        <f t="shared" ref="Q38:R38" si="49">Q26/Q28</f>
        <v>211.79624664879358</v>
      </c>
      <c r="R38" s="5">
        <f t="shared" si="49"/>
        <v>252.39616613418528</v>
      </c>
      <c r="S38" s="5">
        <f>R38*1.15</f>
        <v>290.25559105431307</v>
      </c>
      <c r="T38" s="5">
        <f>S38*1.1</f>
        <v>319.28115015974441</v>
      </c>
      <c r="U38" s="5">
        <f>T38*1.07</f>
        <v>341.63083067092651</v>
      </c>
      <c r="V38" s="5">
        <f t="shared" ref="V38:Z38" si="50">U38*1.05</f>
        <v>358.71237220447284</v>
      </c>
      <c r="W38" s="5">
        <f t="shared" si="50"/>
        <v>376.64799081469653</v>
      </c>
      <c r="X38" s="5">
        <f t="shared" si="50"/>
        <v>395.48039035543138</v>
      </c>
      <c r="Y38" s="5">
        <f t="shared" si="50"/>
        <v>415.25440987320297</v>
      </c>
      <c r="Z38" s="5">
        <f t="shared" si="50"/>
        <v>436.01713036686311</v>
      </c>
    </row>
    <row r="39" spans="1:26" x14ac:dyDescent="0.3">
      <c r="R39" s="1">
        <f>R38/Q38-1</f>
        <v>0.19169329073482411</v>
      </c>
      <c r="S39" s="1">
        <f t="shared" ref="S39:Z39" si="51">S38/R38-1</f>
        <v>0.14999999999999991</v>
      </c>
      <c r="T39" s="1">
        <f t="shared" si="51"/>
        <v>0.10000000000000009</v>
      </c>
      <c r="U39" s="1">
        <f t="shared" si="51"/>
        <v>7.0000000000000062E-2</v>
      </c>
      <c r="V39" s="1">
        <f t="shared" si="51"/>
        <v>5.0000000000000044E-2</v>
      </c>
      <c r="W39" s="1">
        <f t="shared" si="51"/>
        <v>5.0000000000000044E-2</v>
      </c>
      <c r="X39" s="1">
        <f t="shared" si="51"/>
        <v>5.0000000000000044E-2</v>
      </c>
      <c r="Y39" s="1">
        <f t="shared" si="51"/>
        <v>5.0000000000000044E-2</v>
      </c>
      <c r="Z39" s="1">
        <f t="shared" si="51"/>
        <v>5.0000000000000044E-2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Duarte Morais</dc:creator>
  <cp:lastModifiedBy>Alexandre Duarte Morais</cp:lastModifiedBy>
  <dcterms:created xsi:type="dcterms:W3CDTF">2024-04-04T17:14:54Z</dcterms:created>
  <dcterms:modified xsi:type="dcterms:W3CDTF">2025-01-01T14:05:36Z</dcterms:modified>
</cp:coreProperties>
</file>