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293" documentId="8_{8EBAA586-BECB-4BE7-BD3D-A72ABD8C174F}" xr6:coauthVersionLast="47" xr6:coauthVersionMax="47" xr10:uidLastSave="{7FA2C1CB-B363-4193-ABFC-756261721B54}"/>
  <bookViews>
    <workbookView xWindow="-120" yWindow="-120" windowWidth="29040" windowHeight="15720" activeTab="1" xr2:uid="{FC2A63A4-F159-4309-A96C-B5747F4915D1}"/>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9" i="2" l="1"/>
  <c r="U17" i="2"/>
  <c r="V18" i="2"/>
  <c r="U18" i="2"/>
  <c r="T18" i="2"/>
  <c r="S18" i="2"/>
  <c r="V17" i="2"/>
  <c r="T17" i="2"/>
  <c r="V13" i="2"/>
  <c r="U13" i="2"/>
  <c r="T13" i="2"/>
  <c r="R13" i="2"/>
  <c r="R31" i="2"/>
  <c r="R23" i="2"/>
  <c r="Q42" i="2"/>
  <c r="P42" i="2"/>
  <c r="S28" i="2"/>
  <c r="T28" i="2" s="1"/>
  <c r="U28" i="2" s="1"/>
  <c r="V28" i="2" s="1"/>
  <c r="R28" i="2"/>
  <c r="R33" i="2"/>
  <c r="R19" i="2"/>
  <c r="R46" i="2" s="1"/>
  <c r="R18" i="2"/>
  <c r="R17" i="2"/>
  <c r="R44" i="2" s="1"/>
  <c r="R16" i="2"/>
  <c r="S13" i="2"/>
  <c r="S31" i="2" s="1"/>
  <c r="Q46" i="2"/>
  <c r="R45" i="2"/>
  <c r="Q45" i="2"/>
  <c r="Q44" i="2"/>
  <c r="Q35" i="2"/>
  <c r="Q34" i="2"/>
  <c r="Q33" i="2"/>
  <c r="Q31" i="2"/>
  <c r="Q28" i="2"/>
  <c r="Q26" i="2"/>
  <c r="Q24" i="2"/>
  <c r="Q23" i="2"/>
  <c r="Q20" i="2"/>
  <c r="Q19" i="2"/>
  <c r="Q18" i="2"/>
  <c r="Q17" i="2"/>
  <c r="Q16" i="2"/>
  <c r="Q13" i="2"/>
  <c r="J26" i="2"/>
  <c r="J27" i="2" s="1"/>
  <c r="J25" i="2"/>
  <c r="J21" i="2"/>
  <c r="J22" i="2" s="1"/>
  <c r="J19" i="2"/>
  <c r="J18" i="2"/>
  <c r="J17" i="2"/>
  <c r="J16" i="2"/>
  <c r="J13" i="2"/>
  <c r="P46" i="2"/>
  <c r="O46" i="2"/>
  <c r="N46" i="2"/>
  <c r="M46" i="2"/>
  <c r="L46" i="2"/>
  <c r="P45" i="2"/>
  <c r="O45" i="2"/>
  <c r="N45" i="2"/>
  <c r="M45" i="2"/>
  <c r="L45" i="2"/>
  <c r="P44" i="2"/>
  <c r="O44" i="2"/>
  <c r="N44" i="2"/>
  <c r="M44" i="2"/>
  <c r="L44" i="2"/>
  <c r="P39" i="2"/>
  <c r="O39" i="2"/>
  <c r="N39" i="2"/>
  <c r="P35" i="2"/>
  <c r="O35" i="2"/>
  <c r="N35" i="2"/>
  <c r="P34" i="2"/>
  <c r="O34" i="2"/>
  <c r="N34" i="2"/>
  <c r="P33" i="2"/>
  <c r="O33" i="2"/>
  <c r="N33" i="2"/>
  <c r="O31" i="2"/>
  <c r="P31" i="2"/>
  <c r="N23" i="2"/>
  <c r="O23" i="2"/>
  <c r="P23" i="2"/>
  <c r="L3" i="1" a="1"/>
  <c r="L3" i="1" s="1"/>
  <c r="S19" i="2" l="1"/>
  <c r="S46" i="2" s="1"/>
  <c r="S17" i="2"/>
  <c r="S44" i="2" s="1"/>
  <c r="S45" i="2"/>
  <c r="S16" i="2"/>
  <c r="S33" i="2" s="1"/>
  <c r="F23" i="2"/>
  <c r="C23" i="2"/>
  <c r="G23" i="2"/>
  <c r="C39" i="2"/>
  <c r="G39" i="2"/>
  <c r="D38" i="2"/>
  <c r="E38" i="2" s="1"/>
  <c r="F38" i="2" s="1"/>
  <c r="D37" i="2"/>
  <c r="E37" i="2" s="1"/>
  <c r="F37" i="2" s="1"/>
  <c r="F39" i="2" s="1"/>
  <c r="H38" i="2"/>
  <c r="I38" i="2" s="1"/>
  <c r="H37" i="2"/>
  <c r="I37" i="2" s="1"/>
  <c r="D23" i="2"/>
  <c r="H23" i="2"/>
  <c r="M21" i="2"/>
  <c r="L21" i="2"/>
  <c r="M13" i="2"/>
  <c r="M16" i="2" s="1"/>
  <c r="M22" i="2" s="1"/>
  <c r="M25" i="2" s="1"/>
  <c r="M27" i="2" s="1"/>
  <c r="M29" i="2" s="1"/>
  <c r="L13" i="2"/>
  <c r="L16" i="2" s="1"/>
  <c r="L22" i="2" s="1"/>
  <c r="L25" i="2" s="1"/>
  <c r="L27" i="2" s="1"/>
  <c r="L29" i="2" s="1"/>
  <c r="S21" i="2"/>
  <c r="R21" i="2"/>
  <c r="Q21" i="2"/>
  <c r="P21" i="2"/>
  <c r="O21" i="2"/>
  <c r="N21" i="2"/>
  <c r="P13" i="2"/>
  <c r="P16" i="2" s="1"/>
  <c r="O13" i="2"/>
  <c r="O16" i="2" s="1"/>
  <c r="N13" i="2"/>
  <c r="N16" i="2" s="1"/>
  <c r="O2" i="2"/>
  <c r="P2" i="2" s="1"/>
  <c r="Q2" i="2" s="1"/>
  <c r="R2" i="2" s="1"/>
  <c r="S2" i="2" s="1"/>
  <c r="T2" i="2" s="1"/>
  <c r="U2" i="2" s="1"/>
  <c r="V2" i="2" s="1"/>
  <c r="E23" i="2"/>
  <c r="I23" i="2"/>
  <c r="H21" i="2"/>
  <c r="G21" i="2"/>
  <c r="F21" i="2"/>
  <c r="E21" i="2"/>
  <c r="D21" i="2"/>
  <c r="C21" i="2"/>
  <c r="I21" i="2"/>
  <c r="H13" i="2"/>
  <c r="H16" i="2" s="1"/>
  <c r="H33" i="2" s="1"/>
  <c r="G13" i="2"/>
  <c r="G16" i="2" s="1"/>
  <c r="G33" i="2" s="1"/>
  <c r="F13" i="2"/>
  <c r="F16" i="2" s="1"/>
  <c r="F33" i="2" s="1"/>
  <c r="E13" i="2"/>
  <c r="E16" i="2" s="1"/>
  <c r="E33" i="2" s="1"/>
  <c r="D13" i="2"/>
  <c r="D16" i="2" s="1"/>
  <c r="D33" i="2" s="1"/>
  <c r="C13" i="2"/>
  <c r="C16" i="2" s="1"/>
  <c r="C33" i="2" s="1"/>
  <c r="I13" i="2"/>
  <c r="I16" i="2" s="1"/>
  <c r="I33" i="2" s="1"/>
  <c r="L7" i="1"/>
  <c r="L6" i="1"/>
  <c r="L4" i="1"/>
  <c r="L5" i="1"/>
  <c r="L8" i="1" s="1"/>
  <c r="T45" i="2" l="1"/>
  <c r="T19" i="2"/>
  <c r="T46" i="2" s="1"/>
  <c r="T31" i="2"/>
  <c r="T16" i="2"/>
  <c r="T33" i="2" s="1"/>
  <c r="E45" i="2"/>
  <c r="F45" i="2"/>
  <c r="F44" i="2"/>
  <c r="H44" i="2"/>
  <c r="D45" i="2"/>
  <c r="G45" i="2"/>
  <c r="G44" i="2"/>
  <c r="H31" i="2"/>
  <c r="H45" i="2"/>
  <c r="I45" i="2"/>
  <c r="G31" i="2"/>
  <c r="D46" i="2"/>
  <c r="E46" i="2"/>
  <c r="I31" i="2"/>
  <c r="F46" i="2"/>
  <c r="E22" i="2"/>
  <c r="C46" i="2"/>
  <c r="G46" i="2"/>
  <c r="F22" i="2"/>
  <c r="C45" i="2"/>
  <c r="H46" i="2"/>
  <c r="C44" i="2"/>
  <c r="G22" i="2"/>
  <c r="D44" i="2"/>
  <c r="I46" i="2"/>
  <c r="I22" i="2"/>
  <c r="S22" i="2"/>
  <c r="S34" i="2" s="1"/>
  <c r="D39" i="2"/>
  <c r="E44" i="2"/>
  <c r="I44" i="2"/>
  <c r="I39" i="2"/>
  <c r="H39" i="2"/>
  <c r="I40" i="2" s="1"/>
  <c r="L10" i="1" s="1"/>
  <c r="C22" i="2"/>
  <c r="E39" i="2"/>
  <c r="H40" i="2" s="1"/>
  <c r="D22" i="2"/>
  <c r="H22" i="2"/>
  <c r="N22" i="2"/>
  <c r="N25" i="2" s="1"/>
  <c r="N27" i="2" s="1"/>
  <c r="N29" i="2" s="1"/>
  <c r="P22" i="2"/>
  <c r="P25" i="2" s="1"/>
  <c r="P27" i="2" s="1"/>
  <c r="P29" i="2" s="1"/>
  <c r="O22" i="2"/>
  <c r="O25" i="2" s="1"/>
  <c r="O27" i="2" s="1"/>
  <c r="O29" i="2" s="1"/>
  <c r="Q22" i="2"/>
  <c r="Q25" i="2" s="1"/>
  <c r="Q27" i="2" s="1"/>
  <c r="Q29" i="2" s="1"/>
  <c r="R22" i="2"/>
  <c r="R25" i="2" l="1"/>
  <c r="R34" i="2"/>
  <c r="T44" i="2"/>
  <c r="T21" i="2"/>
  <c r="T22" i="2" s="1"/>
  <c r="T34" i="2" s="1"/>
  <c r="U16" i="2"/>
  <c r="U45" i="2"/>
  <c r="U19" i="2"/>
  <c r="U46" i="2" s="1"/>
  <c r="U31" i="2"/>
  <c r="R26" i="2"/>
  <c r="R27" i="2" s="1"/>
  <c r="G40" i="2"/>
  <c r="I25" i="2"/>
  <c r="I27" i="2" s="1"/>
  <c r="I34" i="2"/>
  <c r="G25" i="2"/>
  <c r="G27" i="2" s="1"/>
  <c r="G34" i="2"/>
  <c r="C25" i="2"/>
  <c r="C27" i="2" s="1"/>
  <c r="C34" i="2"/>
  <c r="F25" i="2"/>
  <c r="F27" i="2" s="1"/>
  <c r="F34" i="2"/>
  <c r="E25" i="2"/>
  <c r="E27" i="2" s="1"/>
  <c r="E34" i="2"/>
  <c r="F40" i="2"/>
  <c r="H25" i="2"/>
  <c r="H27" i="2" s="1"/>
  <c r="H34" i="2"/>
  <c r="D25" i="2"/>
  <c r="D27" i="2" s="1"/>
  <c r="D34" i="2"/>
  <c r="U33" i="2" l="1"/>
  <c r="V45" i="2"/>
  <c r="V16" i="2"/>
  <c r="V33" i="2" s="1"/>
  <c r="V31" i="2"/>
  <c r="V46" i="2"/>
  <c r="U44" i="2"/>
  <c r="U21" i="2"/>
  <c r="U22" i="2" s="1"/>
  <c r="U34" i="2" s="1"/>
  <c r="R42" i="2"/>
  <c r="S23" i="2" s="1"/>
  <c r="R35" i="2"/>
  <c r="R29" i="2"/>
  <c r="D29" i="2"/>
  <c r="D35" i="2"/>
  <c r="H29" i="2"/>
  <c r="H35" i="2"/>
  <c r="E29" i="2"/>
  <c r="E35" i="2"/>
  <c r="F29" i="2"/>
  <c r="F35" i="2"/>
  <c r="C29" i="2"/>
  <c r="C35" i="2"/>
  <c r="G29" i="2"/>
  <c r="G35" i="2"/>
  <c r="I29" i="2"/>
  <c r="I35" i="2"/>
  <c r="V44" i="2" l="1"/>
  <c r="V21" i="2"/>
  <c r="V22" i="2" s="1"/>
  <c r="V34" i="2" s="1"/>
  <c r="S25" i="2"/>
  <c r="S26" i="2" l="1"/>
  <c r="S27" i="2" s="1"/>
  <c r="S29" i="2" l="1"/>
  <c r="S35" i="2"/>
  <c r="S42" i="2"/>
  <c r="T23" i="2" l="1"/>
  <c r="T25" i="2" s="1"/>
  <c r="T26" i="2" l="1"/>
  <c r="T27" i="2" s="1"/>
  <c r="T29" i="2" l="1"/>
  <c r="T35" i="2"/>
  <c r="T42" i="2"/>
  <c r="U23" i="2" l="1"/>
  <c r="U25" i="2" s="1"/>
  <c r="U26" i="2" l="1"/>
  <c r="U27" i="2" s="1"/>
  <c r="U35" i="2" l="1"/>
  <c r="U29" i="2"/>
  <c r="U42" i="2"/>
  <c r="V23" i="2" l="1"/>
  <c r="V25" i="2" s="1"/>
  <c r="V26" i="2" l="1"/>
  <c r="V27" i="2" s="1"/>
  <c r="W27" i="2" s="1"/>
  <c r="X27" i="2" s="1"/>
  <c r="Y27" i="2" s="1"/>
  <c r="Z27" i="2" s="1"/>
  <c r="AA27" i="2" s="1"/>
  <c r="AB27" i="2" s="1"/>
  <c r="AC27" i="2" s="1"/>
  <c r="AD27" i="2" s="1"/>
  <c r="AE27" i="2" s="1"/>
  <c r="AF27" i="2" s="1"/>
  <c r="AG27" i="2" s="1"/>
  <c r="AH27" i="2" s="1"/>
  <c r="AI27" i="2" s="1"/>
  <c r="AJ27" i="2" s="1"/>
  <c r="AK27" i="2" s="1"/>
  <c r="AL27" i="2" s="1"/>
  <c r="AM27" i="2" s="1"/>
  <c r="AN27" i="2" s="1"/>
  <c r="AO27" i="2" s="1"/>
  <c r="AP27" i="2" s="1"/>
  <c r="AQ27" i="2" s="1"/>
  <c r="AR27" i="2" s="1"/>
  <c r="AS27" i="2" s="1"/>
  <c r="AT27" i="2" s="1"/>
  <c r="AU27" i="2" s="1"/>
  <c r="AV27" i="2" s="1"/>
  <c r="AW27" i="2" s="1"/>
  <c r="AX27" i="2" s="1"/>
  <c r="AY27" i="2" s="1"/>
  <c r="AZ27" i="2" s="1"/>
  <c r="BA27" i="2" s="1"/>
  <c r="BB27" i="2" s="1"/>
  <c r="BC27" i="2" s="1"/>
  <c r="BD27" i="2" s="1"/>
  <c r="BE27" i="2" s="1"/>
  <c r="BF27" i="2" s="1"/>
  <c r="BG27" i="2" s="1"/>
  <c r="BH27" i="2" s="1"/>
  <c r="BI27" i="2" s="1"/>
  <c r="BJ27" i="2" s="1"/>
  <c r="BK27" i="2" s="1"/>
  <c r="BL27" i="2" s="1"/>
  <c r="BM27" i="2" s="1"/>
  <c r="BN27" i="2" s="1"/>
  <c r="BO27" i="2" s="1"/>
  <c r="BP27" i="2" s="1"/>
  <c r="Y20" i="2" s="1"/>
  <c r="Y21" i="2" s="1"/>
  <c r="V29" i="2" l="1"/>
  <c r="V35" i="2"/>
  <c r="V4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<sst xmlns="http://schemas.openxmlformats.org/spreadsheetml/2006/main" count="57" uniqueCount="55">
  <si>
    <t>Ticket</t>
  </si>
  <si>
    <t>Price</t>
  </si>
  <si>
    <t>Shares</t>
  </si>
  <si>
    <t>MC</t>
  </si>
  <si>
    <t>Cash</t>
  </si>
  <si>
    <t>Debt</t>
  </si>
  <si>
    <t>EV</t>
  </si>
  <si>
    <t>main</t>
  </si>
  <si>
    <t>Subscription</t>
  </si>
  <si>
    <t>Professional Services</t>
  </si>
  <si>
    <t>Revenue</t>
  </si>
  <si>
    <t>COGS Subs</t>
  </si>
  <si>
    <t>COGS Services</t>
  </si>
  <si>
    <t>Gross Profit</t>
  </si>
  <si>
    <t>R&amp;D</t>
  </si>
  <si>
    <t>S&amp;M</t>
  </si>
  <si>
    <t>G&amp;A</t>
  </si>
  <si>
    <t xml:space="preserve">Restructuring </t>
  </si>
  <si>
    <t>Total Opex</t>
  </si>
  <si>
    <t>Operating Income</t>
  </si>
  <si>
    <t>Net Interest</t>
  </si>
  <si>
    <t>Other income</t>
  </si>
  <si>
    <t>Pretax Income</t>
  </si>
  <si>
    <t>Taxes</t>
  </si>
  <si>
    <t>Net Income</t>
  </si>
  <si>
    <t>EPS</t>
  </si>
  <si>
    <t>Q1 2024</t>
  </si>
  <si>
    <t>Q2 2024</t>
  </si>
  <si>
    <t>Q3 2024</t>
  </si>
  <si>
    <t>Q4 2024</t>
  </si>
  <si>
    <t>Revenue y/y</t>
  </si>
  <si>
    <t>Gross Margin</t>
  </si>
  <si>
    <t>Operating Margin</t>
  </si>
  <si>
    <t>Net Margin</t>
  </si>
  <si>
    <t>CFFO</t>
  </si>
  <si>
    <t>Capex</t>
  </si>
  <si>
    <t>FCF</t>
  </si>
  <si>
    <t>Q1 2025</t>
  </si>
  <si>
    <t>Q2 2025</t>
  </si>
  <si>
    <t>Q3 2025</t>
  </si>
  <si>
    <t>Q4 2025</t>
  </si>
  <si>
    <t>TTM FCF</t>
  </si>
  <si>
    <t>EV/FCF</t>
  </si>
  <si>
    <t>Net Cash</t>
  </si>
  <si>
    <t>R&amp;D %</t>
  </si>
  <si>
    <t>S&amp;M %</t>
  </si>
  <si>
    <t>G&amp;A %</t>
  </si>
  <si>
    <t>Customers</t>
  </si>
  <si>
    <t>NRR</t>
  </si>
  <si>
    <t>+100k ARR</t>
  </si>
  <si>
    <t>RPO</t>
  </si>
  <si>
    <t>ROIC</t>
  </si>
  <si>
    <t>Maturity</t>
  </si>
  <si>
    <t>NPV</t>
  </si>
  <si>
    <t>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</si>
</sst>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_([$$-409]* #,##0.00_);_([$$-409]* \(#,##0.00\);_([$$-409]* &quot;-&quot;??_);_(@_)"/>
    <numFmt numFmtId="165" formatCode="&quot;$&quot;#,##0.00"/>
    <numFmt numFmtId="166" formatCode="0.0%"/>
    <numFmt numFmtId="167" formatCode="0.00\x"/>
  </numFmts>
  <fonts count="5" x14ac:knownFonts="1">
    <font>
      <sz val="11"/>
      <color theme="1"/>
      <name val="Aptos Narrow"/>
      <family val="2"/>
      <scheme val="minor"/>
    </font>
    <font>
      <sz val="10"/>
      <color theme="1"/>
      <name val="Arial"/>
      <family val="2"/>
    </font>
    <font>
      <u/>
      <sz val="11"/>
      <color theme="10"/>
      <name val="Aptos Narrow"/>
      <family val="2"/>
      <scheme val="minor"/>
    </font>
    <font>
      <u/>
      <sz val="10"/>
      <color theme="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3" fontId="1" fillId="0" borderId="0" xfId="0" applyNumberFormat="1" applyFont="1"/>
    <xf numFmtId="0" fontId="3" fillId="0" borderId="0" xfId="1" applyFont="1"/>
    <xf numFmtId="0" fontId="4" fillId="0" borderId="0" xfId="0" applyFont="1"/>
    <xf numFmtId="3" fontId="4" fillId="0" borderId="0" xfId="0" applyNumberFormat="1" applyFont="1"/>
    <xf numFmtId="165" fontId="1" fillId="0" borderId="0" xfId="0" applyNumberFormat="1" applyFont="1"/>
    <xf numFmtId="9" fontId="1" fillId="0" borderId="0" xfId="0" applyNumberFormat="1" applyFont="1"/>
    <xf numFmtId="166" fontId="1" fillId="0" borderId="0" xfId="0" applyNumberFormat="1" applyFont="1"/>
    <xf numFmtId="167" fontId="1" fillId="0" borderId="0" xfId="0" applyNumberFormat="1" applyFont="1"/>
    <xf numFmtId="0" fontId="1" fillId="0" borderId="0" xfId="0" quotePrefix="1" applyFont="1"/>
    <xf numFmtId="8" fontId="1" fillId="0" borderId="0" xfId="0" applyNumberFormat="1" applyFont="1"/>
    <xf numFmtId="9"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28575</xdr:rowOff>
    </xdr:from>
    <xdr:to>
      <xdr:col>9</xdr:col>
      <xdr:colOff>0</xdr:colOff>
      <xdr:row>57</xdr:row>
      <xdr:rowOff>57150</xdr:rowOff>
    </xdr:to>
    <xdr:cxnSp macro="">
      <xdr:nvCxnSpPr>
        <xdr:cNvPr id="3" name="Straight Connector 2">
          <a:extLst>
            <a:ext uri="{FF2B5EF4-FFF2-40B4-BE49-F238E27FC236}">
              <a16:creationId xmlns:a16="http://schemas.microsoft.com/office/drawing/2014/main" id="{F272CE5D-6B91-DFEE-2EFA-3EAC880F4C05}"/>
            </a:ext>
          </a:extLst>
        </xdr:cNvPr>
        <xdr:cNvCxnSpPr/>
      </xdr:nvCxnSpPr>
      <xdr:spPr>
        <a:xfrm>
          <a:off x="5867400" y="28575"/>
          <a:ext cx="0" cy="84486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0</xdr:colOff>
      <xdr:row>0</xdr:row>
      <xdr:rowOff>0</xdr:rowOff>
    </xdr:from>
    <xdr:to>
      <xdr:col>16</xdr:col>
      <xdr:colOff>9525</xdr:colOff>
      <xdr:row>65</xdr:row>
      <xdr:rowOff>28575</xdr:rowOff>
    </xdr:to>
    <xdr:cxnSp macro="">
      <xdr:nvCxnSpPr>
        <xdr:cNvPr id="5" name="Straight Connector 4">
          <a:extLst>
            <a:ext uri="{FF2B5EF4-FFF2-40B4-BE49-F238E27FC236}">
              <a16:creationId xmlns:a16="http://schemas.microsoft.com/office/drawing/2014/main" id="{46C1B3C2-D28F-4D62-8D21-B8471EE23244}"/>
            </a:ext>
          </a:extLst>
        </xdr:cNvPr>
        <xdr:cNvCxnSpPr/>
      </xdr:nvCxnSpPr>
      <xdr:spPr>
        <a:xfrm flipH="1">
          <a:off x="10134600" y="0"/>
          <a:ext cx="9525" cy="105537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https://www.bing.com/financeapi/forcetrigger?t=a1z6qh&amp;q=XNAS%3aOKTA&amp;form=skydnc</v>
    <v>Learn more on Bing</v>
  </rv>
  <rv s="1">
    <v>en-US</v>
    <v>a1z6qh</v>
    <v>268435456</v>
    <v>1</v>
    <v>Powered by Refinitiv</v>
    <v>0</v>
    <v>OKTA, INC. (XNAS:OKTA)</v>
    <v>2</v>
    <v>3</v>
    <v>Finance</v>
    <v>4</v>
    <v>114.5</v>
    <v>70.56</v>
    <v>1.0029999999999999</v>
    <v>-1.38</v>
    <v>-6.0019999999999995E-3</v>
    <v>-1.6623000000000002E-2</v>
    <v>-0.49</v>
    <v>USD</v>
    <v>Okta, Inc. is an independent identity provider company.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5938</v>
    <v>Nasdaq Stock Market</v>
    <v>XNAS</v>
    <v>XNAS</v>
    <v>100 1st St Ste 600, SAN FRANCISCO, CA, 94105-4687 US</v>
    <v>82.484999999999999</v>
    <v>Software &amp; IT Services</v>
    <v>Stock</v>
    <v>45653.875100392972</v>
    <v>0</v>
    <v>79.870099999999994</v>
    <v>13989410000</v>
    <v>OKTA, INC.</v>
    <v>OKTA, INC.</v>
    <v>82.33</v>
    <v>0</v>
    <v>83.02</v>
    <v>81.64</v>
    <v>81.150000000000006</v>
    <v>171354900</v>
    <v>OKTA</v>
    <v>OKTA, INC. (XNAS:OKTA)</v>
    <v>3348600</v>
    <v>4524813</v>
    <v>2010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B59C8-9521-4FE3-AF1F-3DEC4A76779B}">
  <dimension ref="K2:L10"/>
  <sheetViews>
    <sheetView topLeftCell="D1" workbookViewId="0">
      <selection activeCell="H12" sqref="H12"/>
    </sheetView>
  </sheetViews>
  <sheetFormatPr defaultRowHeight="12.75" x14ac:dyDescent="0.2"/>
  <cols>
    <col min="1" max="16384" width="9.140625" style="1"/>
  </cols>
  <sheetData>
    <row r="2" spans="11:12" x14ac:dyDescent="0.2">
      <c r="K2" s="1" t="s">
        <v>0</v>
      </c>
      <c r="L2" s="1" t="e" vm="1">
        <v>#VALUE!</v>
      </c>
    </row>
    <row r="3" spans="11:12" x14ac:dyDescent="0.2">
      <c r="K3" s="1" t="s">
        <v>1</v>
      </c>
      <c r="L3" s="2" cm="1">
        <f t="array" aca="1" ref="L3" ca="1">+_FV(L2,"Price")</f>
        <v>81.64</v>
      </c>
    </row>
    <row r="4" spans="11:12" x14ac:dyDescent="0.2">
      <c r="K4" s="1" t="s">
        <v>2</v>
      </c>
      <c r="L4" s="1">
        <f>163.60469+7.750173</f>
        <v>171.35486299999999</v>
      </c>
    </row>
    <row r="5" spans="11:12" x14ac:dyDescent="0.2">
      <c r="K5" s="1" t="s">
        <v>3</v>
      </c>
      <c r="L5" s="3">
        <f ca="1">+L3*L4</f>
        <v>13989.41101532</v>
      </c>
    </row>
    <row r="6" spans="11:12" x14ac:dyDescent="0.2">
      <c r="K6" s="1" t="s">
        <v>4</v>
      </c>
      <c r="L6" s="3">
        <f>310+1938</f>
        <v>2248</v>
      </c>
    </row>
    <row r="7" spans="11:12" x14ac:dyDescent="0.2">
      <c r="K7" s="1" t="s">
        <v>5</v>
      </c>
      <c r="L7" s="3">
        <f>509+349</f>
        <v>858</v>
      </c>
    </row>
    <row r="8" spans="11:12" x14ac:dyDescent="0.2">
      <c r="K8" s="1" t="s">
        <v>6</v>
      </c>
      <c r="L8" s="3">
        <f ca="1">+L5-L6+L7</f>
        <v>12599.41101532</v>
      </c>
    </row>
    <row r="10" spans="11:12" x14ac:dyDescent="0.2">
      <c r="K10" s="5" t="s">
        <v>42</v>
      </c>
      <c r="L10" s="10">
        <f ca="1">+L8/model!I40</f>
        <v>20.587272900849673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8805-648A-4CA5-BEC1-29FF6F83C93B}">
  <dimension ref="A1:BP46"/>
  <sheetViews>
    <sheetView tabSelected="1" workbookViewId="0">
      <pane xSplit="2" ySplit="2" topLeftCell="C3" activePane="bottomRight" state="frozen"/>
      <selection pane="topRight" activeCell="C1" sqref="C1"/>
      <selection pane="bottomLeft" activeCell="A3" sqref="A3"/>
      <selection pane="bottomRight" activeCell="X1" sqref="X1"/>
    </sheetView>
  </sheetViews>
  <sheetFormatPr defaultRowHeight="12.75" x14ac:dyDescent="0.2"/>
  <cols>
    <col min="1" max="1" width="5" style="1" bestFit="1" customWidth="1"/>
    <col min="2" max="2" width="19" style="1" bestFit="1" customWidth="1"/>
    <col min="3" max="8" width="9.140625" style="1"/>
    <col min="9" max="9" width="9.140625" style="1" customWidth="1"/>
    <col min="10" max="16384" width="9.140625" style="1"/>
  </cols>
  <sheetData>
    <row r="1" spans="1:28" x14ac:dyDescent="0.2">
      <c r="A1" s="4" t="s">
        <v>7</v>
      </c>
    </row>
    <row r="2" spans="1:28" x14ac:dyDescent="0.2">
      <c r="C2" s="5" t="s">
        <v>26</v>
      </c>
      <c r="D2" s="5" t="s">
        <v>27</v>
      </c>
      <c r="E2" s="5" t="s">
        <v>28</v>
      </c>
      <c r="F2" s="5" t="s">
        <v>29</v>
      </c>
      <c r="G2" s="5" t="s">
        <v>37</v>
      </c>
      <c r="H2" s="5" t="s">
        <v>38</v>
      </c>
      <c r="I2" s="5" t="s">
        <v>39</v>
      </c>
      <c r="J2" s="5" t="s">
        <v>40</v>
      </c>
      <c r="L2" s="5">
        <v>2020</v>
      </c>
      <c r="M2" s="5">
        <v>2021</v>
      </c>
      <c r="N2" s="5">
        <v>2022</v>
      </c>
      <c r="O2" s="5">
        <f>+N2+1</f>
        <v>2023</v>
      </c>
      <c r="P2" s="5">
        <f t="shared" ref="P2:V2" si="0">+O2+1</f>
        <v>2024</v>
      </c>
      <c r="Q2" s="5">
        <f t="shared" si="0"/>
        <v>2025</v>
      </c>
      <c r="R2" s="5">
        <f t="shared" si="0"/>
        <v>2026</v>
      </c>
      <c r="S2" s="5">
        <f t="shared" si="0"/>
        <v>2027</v>
      </c>
      <c r="T2" s="5">
        <f t="shared" si="0"/>
        <v>2028</v>
      </c>
      <c r="U2" s="5">
        <f t="shared" si="0"/>
        <v>2029</v>
      </c>
      <c r="V2" s="5">
        <f t="shared" si="0"/>
        <v>2030</v>
      </c>
    </row>
    <row r="3" spans="1:28" s="3" customFormat="1" x14ac:dyDescent="0.2">
      <c r="A3" s="1"/>
      <c r="B3" s="1" t="s">
        <v>50</v>
      </c>
      <c r="C3" s="3">
        <v>2942</v>
      </c>
      <c r="D3" s="3">
        <v>3027</v>
      </c>
      <c r="E3" s="3">
        <v>3073</v>
      </c>
      <c r="F3" s="3">
        <v>3385</v>
      </c>
      <c r="G3" s="3">
        <v>3364</v>
      </c>
      <c r="H3" s="3">
        <v>3505</v>
      </c>
      <c r="I3" s="3">
        <v>3659</v>
      </c>
      <c r="N3" s="3">
        <v>2694</v>
      </c>
      <c r="O3" s="3">
        <v>3007</v>
      </c>
      <c r="P3" s="3">
        <v>3385</v>
      </c>
    </row>
    <row r="4" spans="1:28" x14ac:dyDescent="0.2">
      <c r="C4" s="5"/>
      <c r="D4" s="5"/>
      <c r="E4" s="5"/>
      <c r="F4" s="5"/>
      <c r="G4" s="5"/>
      <c r="H4" s="5"/>
      <c r="I4" s="5"/>
      <c r="J4" s="5"/>
      <c r="L4" s="5"/>
      <c r="M4" s="5"/>
      <c r="N4" s="5"/>
      <c r="O4" s="5"/>
      <c r="P4" s="5"/>
      <c r="Q4" s="5"/>
      <c r="R4" s="5"/>
      <c r="S4" s="5"/>
      <c r="T4" s="5"/>
      <c r="U4" s="5"/>
      <c r="V4" s="5"/>
    </row>
    <row r="5" spans="1:28" s="3" customFormat="1" x14ac:dyDescent="0.2">
      <c r="A5" s="1"/>
      <c r="B5" s="1" t="s">
        <v>47</v>
      </c>
      <c r="C5" s="3">
        <v>18050</v>
      </c>
      <c r="D5" s="3">
        <v>18400</v>
      </c>
      <c r="E5" s="3">
        <v>18800</v>
      </c>
      <c r="F5" s="3">
        <v>18950</v>
      </c>
      <c r="G5" s="3">
        <v>19100</v>
      </c>
      <c r="H5" s="3">
        <v>19300</v>
      </c>
      <c r="I5" s="3">
        <v>19450</v>
      </c>
      <c r="N5" s="3">
        <v>15000</v>
      </c>
      <c r="O5" s="3">
        <v>17600</v>
      </c>
      <c r="P5" s="3">
        <v>18950</v>
      </c>
    </row>
    <row r="6" spans="1:28" s="3" customFormat="1" x14ac:dyDescent="0.2">
      <c r="A6" s="1"/>
      <c r="B6" s="11" t="s">
        <v>49</v>
      </c>
      <c r="C6" s="3">
        <v>4080</v>
      </c>
      <c r="D6" s="3">
        <v>4205</v>
      </c>
      <c r="E6" s="3">
        <v>4365</v>
      </c>
      <c r="F6" s="3">
        <v>4485</v>
      </c>
      <c r="G6" s="3">
        <v>4550</v>
      </c>
      <c r="H6" s="3">
        <v>4620</v>
      </c>
      <c r="I6" s="3">
        <v>4705</v>
      </c>
      <c r="N6" s="3">
        <v>3100</v>
      </c>
      <c r="O6" s="3">
        <v>3930</v>
      </c>
      <c r="P6" s="3">
        <v>4485</v>
      </c>
    </row>
    <row r="7" spans="1:28" s="8" customFormat="1" x14ac:dyDescent="0.2">
      <c r="A7" s="1"/>
      <c r="B7" s="1" t="s">
        <v>48</v>
      </c>
      <c r="C7" s="8">
        <v>1.17</v>
      </c>
      <c r="D7" s="8">
        <v>1.1499999999999999</v>
      </c>
      <c r="E7" s="8">
        <v>1.1499999999999999</v>
      </c>
      <c r="F7" s="8">
        <v>1.1100000000000001</v>
      </c>
      <c r="G7" s="8">
        <v>1.1100000000000001</v>
      </c>
      <c r="H7" s="8">
        <v>1.1000000000000001</v>
      </c>
      <c r="I7" s="8">
        <v>1.08</v>
      </c>
      <c r="N7" s="8">
        <v>1.24</v>
      </c>
      <c r="O7" s="8">
        <v>1.2</v>
      </c>
      <c r="P7" s="8">
        <v>1.1100000000000001</v>
      </c>
    </row>
    <row r="8" spans="1:28" s="3" customFormat="1" x14ac:dyDescent="0.2">
      <c r="A8" s="1"/>
      <c r="B8" s="1"/>
      <c r="C8" s="6"/>
      <c r="D8" s="6"/>
      <c r="E8" s="6"/>
      <c r="F8" s="6"/>
      <c r="G8" s="6"/>
      <c r="H8" s="6"/>
      <c r="I8" s="6"/>
      <c r="J8" s="6"/>
      <c r="L8" s="6"/>
      <c r="M8" s="6"/>
      <c r="N8" s="6"/>
      <c r="O8" s="13"/>
      <c r="P8" s="13"/>
      <c r="Q8" s="6"/>
      <c r="R8" s="6"/>
      <c r="S8" s="6"/>
      <c r="T8" s="6"/>
      <c r="U8" s="6"/>
      <c r="V8" s="6"/>
    </row>
    <row r="9" spans="1:28" x14ac:dyDescent="0.2">
      <c r="C9" s="5"/>
      <c r="D9" s="5"/>
      <c r="E9" s="5"/>
      <c r="F9" s="5"/>
      <c r="G9" s="5"/>
      <c r="H9" s="5"/>
      <c r="I9" s="5"/>
      <c r="J9" s="5"/>
    </row>
    <row r="10" spans="1:28" x14ac:dyDescent="0.2">
      <c r="B10" s="1" t="s">
        <v>8</v>
      </c>
      <c r="C10" s="3">
        <v>503</v>
      </c>
      <c r="D10" s="3">
        <v>542</v>
      </c>
      <c r="E10" s="3">
        <v>569</v>
      </c>
      <c r="F10" s="3">
        <v>591</v>
      </c>
      <c r="G10" s="3">
        <v>603</v>
      </c>
      <c r="H10" s="3">
        <v>632</v>
      </c>
      <c r="I10" s="3">
        <v>651</v>
      </c>
      <c r="J10" s="3"/>
      <c r="K10" s="3"/>
      <c r="L10" s="3"/>
      <c r="M10" s="3"/>
      <c r="N10" s="3">
        <v>1249</v>
      </c>
      <c r="O10" s="3">
        <v>1794</v>
      </c>
      <c r="P10" s="3">
        <v>2205</v>
      </c>
      <c r="Q10" s="3"/>
      <c r="R10" s="3"/>
      <c r="S10" s="3"/>
      <c r="T10" s="3"/>
      <c r="U10" s="3"/>
      <c r="V10" s="3"/>
      <c r="W10" s="3"/>
      <c r="X10" s="3"/>
      <c r="Y10" s="3"/>
      <c r="Z10" s="3"/>
      <c r="AA10" s="3"/>
      <c r="AB10" s="3"/>
    </row>
    <row r="11" spans="1:28" x14ac:dyDescent="0.2">
      <c r="B11" s="1" t="s">
        <v>9</v>
      </c>
      <c r="C11" s="3">
        <v>15</v>
      </c>
      <c r="D11" s="3">
        <v>14</v>
      </c>
      <c r="E11" s="3">
        <v>15</v>
      </c>
      <c r="F11" s="3">
        <v>14</v>
      </c>
      <c r="G11" s="3">
        <v>14</v>
      </c>
      <c r="H11" s="3">
        <v>14</v>
      </c>
      <c r="I11" s="3">
        <v>14</v>
      </c>
      <c r="J11" s="3"/>
      <c r="K11" s="3"/>
      <c r="L11" s="3"/>
      <c r="M11" s="3"/>
      <c r="N11" s="3">
        <v>51</v>
      </c>
      <c r="O11" s="3">
        <v>64</v>
      </c>
      <c r="P11" s="3">
        <v>58</v>
      </c>
      <c r="Q11" s="3"/>
      <c r="R11" s="3"/>
      <c r="S11" s="3"/>
      <c r="T11" s="3"/>
      <c r="U11" s="3"/>
      <c r="V11" s="3"/>
      <c r="W11" s="3"/>
      <c r="X11" s="3"/>
      <c r="Y11" s="3"/>
      <c r="Z11" s="3"/>
      <c r="AA11" s="3"/>
      <c r="AB11" s="3"/>
    </row>
    <row r="12" spans="1:28" x14ac:dyDescent="0.2">
      <c r="C12" s="3"/>
      <c r="D12" s="3"/>
      <c r="E12" s="3"/>
      <c r="F12" s="3"/>
      <c r="G12" s="3"/>
      <c r="H12" s="3"/>
      <c r="I12" s="3"/>
      <c r="J12" s="3"/>
      <c r="K12" s="3"/>
      <c r="L12" s="3"/>
      <c r="M12" s="3"/>
      <c r="N12" s="3"/>
      <c r="O12" s="3"/>
      <c r="P12" s="3"/>
      <c r="Q12" s="3"/>
      <c r="R12" s="3"/>
      <c r="S12" s="3"/>
      <c r="T12" s="3"/>
      <c r="U12" s="3"/>
      <c r="V12" s="3"/>
      <c r="W12" s="3"/>
      <c r="X12" s="3"/>
      <c r="Y12" s="3"/>
      <c r="Z12" s="3"/>
      <c r="AA12" s="3"/>
      <c r="AB12" s="3"/>
    </row>
    <row r="13" spans="1:28" s="5" customFormat="1" x14ac:dyDescent="0.2">
      <c r="A13" s="1"/>
      <c r="B13" s="5" t="s">
        <v>10</v>
      </c>
      <c r="C13" s="6">
        <f t="shared" ref="C13:H13" si="1">+C10+C11</f>
        <v>518</v>
      </c>
      <c r="D13" s="6">
        <f t="shared" si="1"/>
        <v>556</v>
      </c>
      <c r="E13" s="6">
        <f t="shared" si="1"/>
        <v>584</v>
      </c>
      <c r="F13" s="6">
        <f t="shared" si="1"/>
        <v>605</v>
      </c>
      <c r="G13" s="6">
        <f t="shared" si="1"/>
        <v>617</v>
      </c>
      <c r="H13" s="6">
        <f t="shared" si="1"/>
        <v>646</v>
      </c>
      <c r="I13" s="6">
        <f>+I10+I11</f>
        <v>665</v>
      </c>
      <c r="J13" s="6">
        <f>+F13*1.12</f>
        <v>677.6</v>
      </c>
      <c r="K13" s="6"/>
      <c r="L13" s="6">
        <f t="shared" ref="L13:N13" si="2">+L10+L11</f>
        <v>0</v>
      </c>
      <c r="M13" s="6">
        <f t="shared" si="2"/>
        <v>0</v>
      </c>
      <c r="N13" s="6">
        <f t="shared" ref="N13:V13" si="3">+N10+N11</f>
        <v>1300</v>
      </c>
      <c r="O13" s="6">
        <f t="shared" si="3"/>
        <v>1858</v>
      </c>
      <c r="P13" s="6">
        <f t="shared" si="3"/>
        <v>2263</v>
      </c>
      <c r="Q13" s="6">
        <f>+SUM(G13:J13)</f>
        <v>2605.6</v>
      </c>
      <c r="R13" s="6">
        <f>+Q13*1.125</f>
        <v>2931.2999999999997</v>
      </c>
      <c r="S13" s="6">
        <f t="shared" ref="S13:V13" si="4">+R13*1.1</f>
        <v>3224.43</v>
      </c>
      <c r="T13" s="6">
        <f>+S13*1.09</f>
        <v>3514.6287000000002</v>
      </c>
      <c r="U13" s="6">
        <f>+T13*1.08</f>
        <v>3795.7989960000004</v>
      </c>
      <c r="V13" s="6">
        <f>+U13*1.07</f>
        <v>4061.5049257200008</v>
      </c>
      <c r="W13" s="6"/>
      <c r="X13" s="6"/>
      <c r="Y13" s="6"/>
      <c r="Z13" s="6"/>
      <c r="AA13" s="6"/>
      <c r="AB13" s="6"/>
    </row>
    <row r="14" spans="1:28" x14ac:dyDescent="0.2">
      <c r="B14" s="1" t="s">
        <v>11</v>
      </c>
      <c r="C14" s="3">
        <v>122</v>
      </c>
      <c r="D14" s="3">
        <v>128</v>
      </c>
      <c r="E14" s="3">
        <v>126</v>
      </c>
      <c r="F14" s="3">
        <v>126</v>
      </c>
      <c r="G14" s="3">
        <v>130</v>
      </c>
      <c r="H14" s="3">
        <v>137</v>
      </c>
      <c r="I14" s="3">
        <v>140</v>
      </c>
      <c r="J14" s="3"/>
      <c r="K14" s="3"/>
      <c r="L14" s="3"/>
      <c r="M14" s="3"/>
      <c r="N14" s="3">
        <v>329</v>
      </c>
      <c r="O14" s="3">
        <v>464</v>
      </c>
      <c r="P14" s="3">
        <v>502</v>
      </c>
      <c r="Q14" s="3"/>
      <c r="R14" s="3"/>
      <c r="S14" s="3"/>
      <c r="T14" s="3"/>
      <c r="U14" s="3"/>
      <c r="V14" s="3"/>
      <c r="W14" s="3"/>
      <c r="X14" s="3"/>
      <c r="Y14" s="3"/>
      <c r="Z14" s="3"/>
      <c r="AA14" s="3"/>
      <c r="AB14" s="3"/>
    </row>
    <row r="15" spans="1:28" x14ac:dyDescent="0.2">
      <c r="B15" s="1" t="s">
        <v>12</v>
      </c>
      <c r="C15" s="3">
        <v>20</v>
      </c>
      <c r="D15" s="3">
        <v>21</v>
      </c>
      <c r="E15" s="3">
        <v>19</v>
      </c>
      <c r="F15" s="3">
        <v>19</v>
      </c>
      <c r="G15" s="3">
        <v>18</v>
      </c>
      <c r="H15" s="3">
        <v>18</v>
      </c>
      <c r="I15" s="3">
        <v>17</v>
      </c>
      <c r="J15" s="3"/>
      <c r="K15" s="3"/>
      <c r="L15" s="3"/>
      <c r="M15" s="3"/>
      <c r="N15" s="3">
        <v>67</v>
      </c>
      <c r="O15" s="3">
        <v>82</v>
      </c>
      <c r="P15" s="3">
        <v>79</v>
      </c>
      <c r="Q15" s="3"/>
      <c r="R15" s="3"/>
      <c r="S15" s="3"/>
      <c r="T15" s="3"/>
      <c r="U15" s="3"/>
      <c r="V15" s="3"/>
      <c r="W15" s="3"/>
      <c r="X15" s="3"/>
      <c r="Y15" s="3"/>
      <c r="Z15" s="3"/>
      <c r="AA15" s="3"/>
      <c r="AB15" s="3"/>
    </row>
    <row r="16" spans="1:28" x14ac:dyDescent="0.2">
      <c r="B16" s="1" t="s">
        <v>13</v>
      </c>
      <c r="C16" s="3">
        <f t="shared" ref="C16:H16" si="5">+C13-C14-C15</f>
        <v>376</v>
      </c>
      <c r="D16" s="3">
        <f t="shared" si="5"/>
        <v>407</v>
      </c>
      <c r="E16" s="3">
        <f t="shared" si="5"/>
        <v>439</v>
      </c>
      <c r="F16" s="3">
        <f t="shared" si="5"/>
        <v>460</v>
      </c>
      <c r="G16" s="3">
        <f t="shared" si="5"/>
        <v>469</v>
      </c>
      <c r="H16" s="3">
        <f t="shared" si="5"/>
        <v>491</v>
      </c>
      <c r="I16" s="3">
        <f>+I13-I14-I15</f>
        <v>508</v>
      </c>
      <c r="J16" s="3">
        <f>+J13*0.764</f>
        <v>517.68640000000005</v>
      </c>
      <c r="K16" s="3"/>
      <c r="L16" s="3">
        <f t="shared" ref="L16" si="6">+L13-L14-L15</f>
        <v>0</v>
      </c>
      <c r="M16" s="3">
        <f t="shared" ref="M16" si="7">+M13-M14-M15</f>
        <v>0</v>
      </c>
      <c r="N16" s="3">
        <f t="shared" ref="N16" si="8">+N13-N14-N15</f>
        <v>904</v>
      </c>
      <c r="O16" s="3">
        <f t="shared" ref="O16" si="9">+O13-O14-O15</f>
        <v>1312</v>
      </c>
      <c r="P16" s="3">
        <f t="shared" ref="P16" si="10">+P13-P14-P15</f>
        <v>1682</v>
      </c>
      <c r="Q16" s="3">
        <f>+SUM(G16:J16)</f>
        <v>1985.6864</v>
      </c>
      <c r="R16" s="3">
        <f>+R13*0.764</f>
        <v>2239.5131999999999</v>
      </c>
      <c r="S16" s="3">
        <f t="shared" ref="S16:V16" si="11">+S13*0.764</f>
        <v>2463.46452</v>
      </c>
      <c r="T16" s="3">
        <f t="shared" si="11"/>
        <v>2685.1763268000004</v>
      </c>
      <c r="U16" s="3">
        <f t="shared" si="11"/>
        <v>2899.9904329440005</v>
      </c>
      <c r="V16" s="3">
        <f t="shared" si="11"/>
        <v>3102.9897632500806</v>
      </c>
      <c r="W16" s="3"/>
      <c r="X16" s="3"/>
      <c r="Y16" s="3"/>
      <c r="Z16" s="3"/>
      <c r="AA16" s="3"/>
      <c r="AB16" s="3"/>
    </row>
    <row r="17" spans="1:68" x14ac:dyDescent="0.2">
      <c r="B17" s="1" t="s">
        <v>14</v>
      </c>
      <c r="C17" s="3">
        <v>163</v>
      </c>
      <c r="D17" s="3">
        <v>172</v>
      </c>
      <c r="E17" s="3">
        <v>165</v>
      </c>
      <c r="F17" s="3">
        <v>156</v>
      </c>
      <c r="G17" s="3">
        <v>163</v>
      </c>
      <c r="H17" s="3">
        <v>164</v>
      </c>
      <c r="I17" s="3">
        <v>158</v>
      </c>
      <c r="J17" s="3">
        <f>+J13*0.225</f>
        <v>152.46</v>
      </c>
      <c r="K17" s="3"/>
      <c r="L17" s="3"/>
      <c r="M17" s="3"/>
      <c r="N17" s="3">
        <v>469</v>
      </c>
      <c r="O17" s="3">
        <v>620</v>
      </c>
      <c r="P17" s="3">
        <v>656</v>
      </c>
      <c r="Q17" s="3">
        <f t="shared" ref="Q17:Q20" si="12">+SUM(G17:J17)</f>
        <v>637.46</v>
      </c>
      <c r="R17" s="3">
        <f>+R13*0.2</f>
        <v>586.26</v>
      </c>
      <c r="S17" s="3">
        <f>+S13*0.175</f>
        <v>564.27524999999991</v>
      </c>
      <c r="T17" s="3">
        <f t="shared" ref="T17:U17" si="13">+T13*0.15</f>
        <v>527.19430499999999</v>
      </c>
      <c r="U17" s="3">
        <f>+U13*0.125</f>
        <v>474.47487450000006</v>
      </c>
      <c r="V17" s="3">
        <f t="shared" ref="V17" si="14">+V13*0.1</f>
        <v>406.15049257200008</v>
      </c>
      <c r="W17" s="3"/>
      <c r="X17" s="3" t="s">
        <v>54</v>
      </c>
      <c r="Y17" s="8">
        <v>0.1</v>
      </c>
      <c r="Z17" s="3"/>
      <c r="AA17" s="3"/>
      <c r="AB17" s="3"/>
    </row>
    <row r="18" spans="1:68" x14ac:dyDescent="0.2">
      <c r="B18" s="1" t="s">
        <v>15</v>
      </c>
      <c r="C18" s="3">
        <v>256</v>
      </c>
      <c r="D18" s="3">
        <v>261</v>
      </c>
      <c r="E18" s="3">
        <v>270</v>
      </c>
      <c r="F18" s="3">
        <v>249</v>
      </c>
      <c r="G18" s="3">
        <v>236</v>
      </c>
      <c r="H18" s="3">
        <v>238</v>
      </c>
      <c r="I18" s="3">
        <v>256</v>
      </c>
      <c r="J18" s="3">
        <f>+J13*0.39</f>
        <v>264.26400000000001</v>
      </c>
      <c r="K18" s="3"/>
      <c r="L18" s="3"/>
      <c r="M18" s="3"/>
      <c r="N18" s="3">
        <v>771</v>
      </c>
      <c r="O18" s="3">
        <v>1066</v>
      </c>
      <c r="P18" s="3">
        <v>1036</v>
      </c>
      <c r="Q18" s="3">
        <f t="shared" si="12"/>
        <v>994.26400000000001</v>
      </c>
      <c r="R18" s="3">
        <f>+R13*0.3</f>
        <v>879.38999999999987</v>
      </c>
      <c r="S18" s="3">
        <f>+S13*0.26</f>
        <v>838.35180000000003</v>
      </c>
      <c r="T18" s="3">
        <f>+T13*0.23</f>
        <v>808.36460100000011</v>
      </c>
      <c r="U18" s="3">
        <f>+U13*0.19</f>
        <v>721.2018092400001</v>
      </c>
      <c r="V18" s="3">
        <f t="shared" ref="V18" si="15">+V13*0.19</f>
        <v>771.68593588680017</v>
      </c>
      <c r="W18" s="3"/>
      <c r="X18" s="3" t="s">
        <v>52</v>
      </c>
      <c r="Y18" s="8">
        <v>0.03</v>
      </c>
      <c r="Z18" s="3"/>
      <c r="AA18" s="3"/>
      <c r="AB18" s="3"/>
    </row>
    <row r="19" spans="1:68" x14ac:dyDescent="0.2">
      <c r="B19" s="1" t="s">
        <v>16</v>
      </c>
      <c r="C19" s="3">
        <v>110</v>
      </c>
      <c r="D19" s="3">
        <v>119</v>
      </c>
      <c r="E19" s="3">
        <v>111</v>
      </c>
      <c r="F19" s="3">
        <v>110</v>
      </c>
      <c r="G19" s="3">
        <v>117</v>
      </c>
      <c r="H19" s="3">
        <v>108</v>
      </c>
      <c r="I19" s="3">
        <v>110</v>
      </c>
      <c r="J19" s="3">
        <f>+J13*0.16</f>
        <v>108.41600000000001</v>
      </c>
      <c r="K19" s="3"/>
      <c r="L19" s="3"/>
      <c r="M19" s="3"/>
      <c r="N19" s="3">
        <v>432</v>
      </c>
      <c r="O19" s="3">
        <v>409</v>
      </c>
      <c r="P19" s="3">
        <v>450</v>
      </c>
      <c r="Q19" s="3">
        <f t="shared" si="12"/>
        <v>443.416</v>
      </c>
      <c r="R19" s="3">
        <f>+R13*0.16</f>
        <v>469.00799999999998</v>
      </c>
      <c r="S19" s="3">
        <f>+S13*0.15</f>
        <v>483.66449999999998</v>
      </c>
      <c r="T19" s="3">
        <f>+T13*0.11</f>
        <v>386.60915700000004</v>
      </c>
      <c r="U19" s="3">
        <f t="shared" ref="U19:V19" si="16">+U13*0.11</f>
        <v>417.53788956000005</v>
      </c>
      <c r="V19" s="3">
        <f>+V13*0.1</f>
        <v>406.15049257200008</v>
      </c>
      <c r="W19" s="3"/>
      <c r="X19" s="8" t="s">
        <v>51</v>
      </c>
      <c r="Y19" s="8">
        <v>0.04</v>
      </c>
      <c r="Z19" s="3"/>
      <c r="AA19" s="3"/>
      <c r="AB19" s="3"/>
    </row>
    <row r="20" spans="1:68" x14ac:dyDescent="0.2">
      <c r="B20" s="1" t="s">
        <v>17</v>
      </c>
      <c r="C20" s="3">
        <v>7</v>
      </c>
      <c r="D20" s="3">
        <v>17</v>
      </c>
      <c r="E20" s="3">
        <v>4</v>
      </c>
      <c r="F20" s="3">
        <v>28</v>
      </c>
      <c r="G20" s="3"/>
      <c r="H20" s="3"/>
      <c r="I20" s="3"/>
      <c r="J20" s="3"/>
      <c r="K20" s="3"/>
      <c r="L20" s="3"/>
      <c r="M20" s="3"/>
      <c r="N20" s="3"/>
      <c r="O20" s="3">
        <v>29</v>
      </c>
      <c r="P20" s="3">
        <v>56</v>
      </c>
      <c r="Q20" s="3">
        <f t="shared" si="12"/>
        <v>0</v>
      </c>
      <c r="R20" s="3"/>
      <c r="S20" s="3"/>
      <c r="T20" s="3"/>
      <c r="U20" s="3"/>
      <c r="V20" s="3"/>
      <c r="W20" s="3"/>
      <c r="X20" s="3" t="s">
        <v>53</v>
      </c>
      <c r="Y20" s="3">
        <f>+NPV(Y17,Q27:BP27)+main!L6-main!L7</f>
        <v>14617.323448966321</v>
      </c>
      <c r="Z20" s="3"/>
      <c r="AA20" s="3"/>
      <c r="AB20" s="3"/>
    </row>
    <row r="21" spans="1:68" x14ac:dyDescent="0.2">
      <c r="B21" s="1" t="s">
        <v>18</v>
      </c>
      <c r="C21" s="3">
        <f t="shared" ref="C21:H21" si="17">+SUM(C17:C20)</f>
        <v>536</v>
      </c>
      <c r="D21" s="3">
        <f t="shared" si="17"/>
        <v>569</v>
      </c>
      <c r="E21" s="3">
        <f t="shared" si="17"/>
        <v>550</v>
      </c>
      <c r="F21" s="3">
        <f t="shared" si="17"/>
        <v>543</v>
      </c>
      <c r="G21" s="3">
        <f t="shared" si="17"/>
        <v>516</v>
      </c>
      <c r="H21" s="3">
        <f t="shared" si="17"/>
        <v>510</v>
      </c>
      <c r="I21" s="3">
        <f>+SUM(I17:I20)</f>
        <v>524</v>
      </c>
      <c r="J21" s="3">
        <f t="shared" ref="J21" si="18">+SUM(J17:J20)</f>
        <v>525.1400000000001</v>
      </c>
      <c r="K21" s="3"/>
      <c r="L21" s="3">
        <f t="shared" ref="L21" si="19">+SUM(L17:L20)</f>
        <v>0</v>
      </c>
      <c r="M21" s="3">
        <f t="shared" ref="M21" si="20">+SUM(M17:M20)</f>
        <v>0</v>
      </c>
      <c r="N21" s="3">
        <f t="shared" ref="N21" si="21">+SUM(N17:N20)</f>
        <v>1672</v>
      </c>
      <c r="O21" s="3">
        <f t="shared" ref="O21" si="22">+SUM(O17:O20)</f>
        <v>2124</v>
      </c>
      <c r="P21" s="3">
        <f t="shared" ref="P21" si="23">+SUM(P17:P20)</f>
        <v>2198</v>
      </c>
      <c r="Q21" s="3">
        <f t="shared" ref="Q21" si="24">+SUM(Q17:Q20)</f>
        <v>2075.1400000000003</v>
      </c>
      <c r="R21" s="3">
        <f t="shared" ref="R21" si="25">+SUM(R17:R20)</f>
        <v>1934.6579999999999</v>
      </c>
      <c r="S21" s="3">
        <f t="shared" ref="S21" si="26">+SUM(S17:S20)</f>
        <v>1886.2915499999999</v>
      </c>
      <c r="T21" s="3">
        <f t="shared" ref="T21" si="27">+SUM(T17:T20)</f>
        <v>1722.1680630000003</v>
      </c>
      <c r="U21" s="3">
        <f t="shared" ref="U21" si="28">+SUM(U17:U20)</f>
        <v>1613.2145733000002</v>
      </c>
      <c r="V21" s="3">
        <f t="shared" ref="V21" si="29">+SUM(V17:V20)</f>
        <v>1583.9869210308002</v>
      </c>
      <c r="W21" s="3"/>
      <c r="X21" s="3" t="s">
        <v>1</v>
      </c>
      <c r="Y21" s="12">
        <f>+Y20/main!L4</f>
        <v>85.304398095584375</v>
      </c>
      <c r="Z21" s="3"/>
      <c r="AA21" s="3"/>
      <c r="AB21" s="3"/>
    </row>
    <row r="22" spans="1:68" x14ac:dyDescent="0.2">
      <c r="B22" s="1" t="s">
        <v>19</v>
      </c>
      <c r="C22" s="3">
        <f t="shared" ref="C22:H22" si="30">+C16-C21</f>
        <v>-160</v>
      </c>
      <c r="D22" s="3">
        <f t="shared" si="30"/>
        <v>-162</v>
      </c>
      <c r="E22" s="3">
        <f t="shared" si="30"/>
        <v>-111</v>
      </c>
      <c r="F22" s="3">
        <f t="shared" si="30"/>
        <v>-83</v>
      </c>
      <c r="G22" s="3">
        <f t="shared" si="30"/>
        <v>-47</v>
      </c>
      <c r="H22" s="3">
        <f t="shared" si="30"/>
        <v>-19</v>
      </c>
      <c r="I22" s="3">
        <f>+I16-I21</f>
        <v>-16</v>
      </c>
      <c r="J22" s="3">
        <f t="shared" ref="J22" si="31">+J16-J21</f>
        <v>-7.4536000000000513</v>
      </c>
      <c r="K22" s="3"/>
      <c r="L22" s="3">
        <f t="shared" ref="L22" si="32">+L16-L21</f>
        <v>0</v>
      </c>
      <c r="M22" s="3">
        <f t="shared" ref="M22" si="33">+M16-M21</f>
        <v>0</v>
      </c>
      <c r="N22" s="3">
        <f t="shared" ref="N22" si="34">+N16-N21</f>
        <v>-768</v>
      </c>
      <c r="O22" s="3">
        <f t="shared" ref="O22" si="35">+O16-O21</f>
        <v>-812</v>
      </c>
      <c r="P22" s="3">
        <f t="shared" ref="P22" si="36">+P16-P21</f>
        <v>-516</v>
      </c>
      <c r="Q22" s="3">
        <f t="shared" ref="Q22" si="37">+Q16-Q21</f>
        <v>-89.453600000000279</v>
      </c>
      <c r="R22" s="3">
        <f t="shared" ref="R22" si="38">+R16-R21</f>
        <v>304.85519999999997</v>
      </c>
      <c r="S22" s="3">
        <f t="shared" ref="S22" si="39">+S16-S21</f>
        <v>577.17297000000008</v>
      </c>
      <c r="T22" s="3">
        <f t="shared" ref="T22" si="40">+T16-T21</f>
        <v>963.00826380000012</v>
      </c>
      <c r="U22" s="3">
        <f t="shared" ref="U22" si="41">+U16-U21</f>
        <v>1286.7758596440003</v>
      </c>
      <c r="V22" s="3">
        <f t="shared" ref="V22" si="42">+V16-V21</f>
        <v>1519.0028422192804</v>
      </c>
      <c r="W22" s="3"/>
      <c r="X22" s="3"/>
      <c r="Y22" s="3"/>
      <c r="Z22" s="3"/>
      <c r="AA22" s="3"/>
      <c r="AB22" s="3"/>
    </row>
    <row r="23" spans="1:68" x14ac:dyDescent="0.2">
      <c r="B23" s="1" t="s">
        <v>20</v>
      </c>
      <c r="C23" s="3">
        <f>-3+17</f>
        <v>14</v>
      </c>
      <c r="D23" s="3">
        <f>-2+18</f>
        <v>16</v>
      </c>
      <c r="E23" s="3">
        <f>-2+21</f>
        <v>19</v>
      </c>
      <c r="F23" s="3">
        <f>-1+25</f>
        <v>24</v>
      </c>
      <c r="G23" s="3">
        <f>-2+27</f>
        <v>25</v>
      </c>
      <c r="H23" s="3">
        <f>-1+29</f>
        <v>28</v>
      </c>
      <c r="I23" s="3">
        <f>-1+26</f>
        <v>25</v>
      </c>
      <c r="J23" s="3">
        <v>25</v>
      </c>
      <c r="K23" s="3"/>
      <c r="L23" s="3"/>
      <c r="M23" s="3"/>
      <c r="N23" s="3">
        <f>-91+9</f>
        <v>-82</v>
      </c>
      <c r="O23" s="3">
        <f>-11+22</f>
        <v>11</v>
      </c>
      <c r="P23" s="3">
        <f>-8+81</f>
        <v>73</v>
      </c>
      <c r="Q23" s="3">
        <f t="shared" ref="Q23:Q26" si="43">+SUM(G23:J23)</f>
        <v>103</v>
      </c>
      <c r="R23" s="3">
        <f>+Q42*$Y$19</f>
        <v>62.761484799999991</v>
      </c>
      <c r="S23" s="3">
        <f>+R42*$Y$19</f>
        <v>74.378172039679995</v>
      </c>
      <c r="T23" s="3">
        <f t="shared" ref="S23:V23" si="44">+S42*$Y$19</f>
        <v>94.967188128133898</v>
      </c>
      <c r="U23" s="3">
        <f t="shared" si="44"/>
        <v>128.39921240906293</v>
      </c>
      <c r="V23" s="3">
        <f t="shared" si="44"/>
        <v>173.11874468593976</v>
      </c>
      <c r="W23" s="3"/>
      <c r="X23" s="3"/>
      <c r="Y23" s="3"/>
      <c r="Z23" s="3"/>
      <c r="AA23" s="3"/>
      <c r="AB23" s="3"/>
    </row>
    <row r="24" spans="1:68" x14ac:dyDescent="0.2">
      <c r="B24" s="1" t="s">
        <v>21</v>
      </c>
      <c r="C24" s="3">
        <v>31</v>
      </c>
      <c r="D24" s="3">
        <v>42</v>
      </c>
      <c r="E24" s="3">
        <v>18</v>
      </c>
      <c r="F24" s="3">
        <v>15</v>
      </c>
      <c r="G24" s="3">
        <v>0</v>
      </c>
      <c r="H24" s="3">
        <v>3</v>
      </c>
      <c r="I24" s="3">
        <v>16</v>
      </c>
      <c r="J24" s="3"/>
      <c r="K24" s="3"/>
      <c r="L24" s="3"/>
      <c r="M24" s="3"/>
      <c r="N24" s="3"/>
      <c r="O24" s="3"/>
      <c r="P24" s="3">
        <v>106</v>
      </c>
      <c r="Q24" s="3">
        <f t="shared" si="43"/>
        <v>19</v>
      </c>
      <c r="R24" s="3"/>
      <c r="S24" s="3"/>
      <c r="T24" s="3"/>
      <c r="U24" s="3"/>
      <c r="V24" s="3"/>
      <c r="W24" s="3"/>
      <c r="X24" s="3"/>
      <c r="Y24" s="3"/>
      <c r="Z24" s="3"/>
      <c r="AA24" s="3"/>
      <c r="AB24" s="3"/>
    </row>
    <row r="25" spans="1:68" x14ac:dyDescent="0.2">
      <c r="B25" s="1" t="s">
        <v>22</v>
      </c>
      <c r="C25" s="3">
        <f t="shared" ref="C25:H25" si="45">+C22+C23+C24</f>
        <v>-115</v>
      </c>
      <c r="D25" s="3">
        <f t="shared" si="45"/>
        <v>-104</v>
      </c>
      <c r="E25" s="3">
        <f t="shared" si="45"/>
        <v>-74</v>
      </c>
      <c r="F25" s="3">
        <f t="shared" si="45"/>
        <v>-44</v>
      </c>
      <c r="G25" s="3">
        <f t="shared" si="45"/>
        <v>-22</v>
      </c>
      <c r="H25" s="3">
        <f t="shared" si="45"/>
        <v>12</v>
      </c>
      <c r="I25" s="3">
        <f>+I22+I23+I24</f>
        <v>25</v>
      </c>
      <c r="J25" s="3">
        <f t="shared" ref="J25" si="46">+J22+J23+J24</f>
        <v>17.546399999999949</v>
      </c>
      <c r="K25" s="3"/>
      <c r="L25" s="3">
        <f t="shared" ref="L25" si="47">+L22+L23+L24</f>
        <v>0</v>
      </c>
      <c r="M25" s="3">
        <f t="shared" ref="M25" si="48">+M22+M23+M24</f>
        <v>0</v>
      </c>
      <c r="N25" s="3">
        <f t="shared" ref="N25" si="49">+N22+N23+N24</f>
        <v>-850</v>
      </c>
      <c r="O25" s="3">
        <f t="shared" ref="O25" si="50">+O22+O23+O24</f>
        <v>-801</v>
      </c>
      <c r="P25" s="3">
        <f t="shared" ref="P25" si="51">+P22+P23+P24</f>
        <v>-337</v>
      </c>
      <c r="Q25" s="3">
        <f t="shared" ref="Q25:Q26" si="52">+Q22+Q23+Q24</f>
        <v>32.546399999999721</v>
      </c>
      <c r="R25" s="3">
        <f t="shared" ref="R25" si="53">+R22+R23+R24</f>
        <v>367.61668479999997</v>
      </c>
      <c r="S25" s="3">
        <f t="shared" ref="S25" si="54">+S22+S23+S24</f>
        <v>651.55114203968003</v>
      </c>
      <c r="T25" s="3">
        <f t="shared" ref="T25" si="55">+T22+T23+T24</f>
        <v>1057.9754519281341</v>
      </c>
      <c r="U25" s="3">
        <f t="shared" ref="U25" si="56">+U22+U23+U24</f>
        <v>1415.1750720530633</v>
      </c>
      <c r="V25" s="3">
        <f t="shared" ref="V25" si="57">+V22+V23+V24</f>
        <v>1692.1215869052203</v>
      </c>
      <c r="W25" s="3"/>
      <c r="X25" s="3"/>
      <c r="Y25" s="3"/>
      <c r="Z25" s="3"/>
      <c r="AA25" s="3"/>
      <c r="AB25" s="3"/>
    </row>
    <row r="26" spans="1:68" x14ac:dyDescent="0.2">
      <c r="B26" s="1" t="s">
        <v>23</v>
      </c>
      <c r="C26" s="3">
        <v>4</v>
      </c>
      <c r="D26" s="3">
        <v>7</v>
      </c>
      <c r="E26" s="3">
        <v>7</v>
      </c>
      <c r="F26" s="3">
        <v>0</v>
      </c>
      <c r="G26" s="3">
        <v>18</v>
      </c>
      <c r="H26" s="3">
        <v>-17</v>
      </c>
      <c r="I26" s="3">
        <v>9</v>
      </c>
      <c r="J26" s="3">
        <f>+J25*0.2</f>
        <v>3.5092799999999897</v>
      </c>
      <c r="K26" s="3"/>
      <c r="L26" s="3"/>
      <c r="M26" s="3"/>
      <c r="N26" s="3">
        <v>-2</v>
      </c>
      <c r="O26" s="3">
        <v>14</v>
      </c>
      <c r="P26" s="3">
        <v>18</v>
      </c>
      <c r="Q26" s="3">
        <f t="shared" si="43"/>
        <v>13.50927999999999</v>
      </c>
      <c r="R26" s="3">
        <f>+R25*0.21</f>
        <v>77.199503807999989</v>
      </c>
      <c r="S26" s="3">
        <f t="shared" ref="S26:V26" si="58">+S25*0.21</f>
        <v>136.82573982833281</v>
      </c>
      <c r="T26" s="3">
        <f t="shared" si="58"/>
        <v>222.17484490490816</v>
      </c>
      <c r="U26" s="3">
        <f t="shared" si="58"/>
        <v>297.18676513114326</v>
      </c>
      <c r="V26" s="3">
        <f t="shared" si="58"/>
        <v>355.34553325009625</v>
      </c>
      <c r="W26" s="3"/>
      <c r="X26" s="3"/>
      <c r="Y26" s="3"/>
      <c r="Z26" s="3"/>
      <c r="AA26" s="3"/>
      <c r="AB26" s="3"/>
    </row>
    <row r="27" spans="1:68" s="5" customFormat="1" x14ac:dyDescent="0.2">
      <c r="A27" s="1"/>
      <c r="B27" s="5" t="s">
        <v>24</v>
      </c>
      <c r="C27" s="6">
        <f t="shared" ref="C27:H27" si="59">+C25-C26</f>
        <v>-119</v>
      </c>
      <c r="D27" s="6">
        <f t="shared" si="59"/>
        <v>-111</v>
      </c>
      <c r="E27" s="6">
        <f t="shared" si="59"/>
        <v>-81</v>
      </c>
      <c r="F27" s="6">
        <f t="shared" si="59"/>
        <v>-44</v>
      </c>
      <c r="G27" s="6">
        <f t="shared" si="59"/>
        <v>-40</v>
      </c>
      <c r="H27" s="6">
        <f t="shared" si="59"/>
        <v>29</v>
      </c>
      <c r="I27" s="6">
        <f>+I25-I26</f>
        <v>16</v>
      </c>
      <c r="J27" s="6">
        <f t="shared" ref="J27" si="60">+J25-J26</f>
        <v>14.037119999999959</v>
      </c>
      <c r="K27" s="6"/>
      <c r="L27" s="6">
        <f t="shared" ref="L27" si="61">+L25-L26</f>
        <v>0</v>
      </c>
      <c r="M27" s="6">
        <f t="shared" ref="M27" si="62">+M25-M26</f>
        <v>0</v>
      </c>
      <c r="N27" s="6">
        <f t="shared" ref="N27" si="63">+N25-N26</f>
        <v>-848</v>
      </c>
      <c r="O27" s="6">
        <f t="shared" ref="O27" si="64">+O25-O26</f>
        <v>-815</v>
      </c>
      <c r="P27" s="6">
        <f t="shared" ref="P27" si="65">+P25-P26</f>
        <v>-355</v>
      </c>
      <c r="Q27" s="6">
        <f t="shared" ref="Q27" si="66">+Q25-Q26</f>
        <v>19.037119999999732</v>
      </c>
      <c r="R27" s="6">
        <f t="shared" ref="R27" si="67">+R25-R26</f>
        <v>290.417180992</v>
      </c>
      <c r="S27" s="6">
        <f t="shared" ref="S27" si="68">+S25-S26</f>
        <v>514.72540221134727</v>
      </c>
      <c r="T27" s="6">
        <f t="shared" ref="T27" si="69">+T25-T26</f>
        <v>835.80060702322601</v>
      </c>
      <c r="U27" s="6">
        <f t="shared" ref="U27" si="70">+U25-U26</f>
        <v>1117.98830692192</v>
      </c>
      <c r="V27" s="6">
        <f t="shared" ref="V27" si="71">+V25-V26</f>
        <v>1336.7760536551241</v>
      </c>
      <c r="W27" s="6">
        <f>+V27*(1+$Y$18)</f>
        <v>1376.8793352647779</v>
      </c>
      <c r="X27" s="6">
        <f t="shared" ref="X27:BP27" si="72">+W27*(1+$Y$18)</f>
        <v>1418.1857153227213</v>
      </c>
      <c r="Y27" s="6">
        <f t="shared" si="72"/>
        <v>1460.731286782403</v>
      </c>
      <c r="Z27" s="6">
        <f t="shared" si="72"/>
        <v>1504.5532253858751</v>
      </c>
      <c r="AA27" s="6">
        <f t="shared" si="72"/>
        <v>1549.6898221474514</v>
      </c>
      <c r="AB27" s="6">
        <f t="shared" si="72"/>
        <v>1596.1805168118749</v>
      </c>
      <c r="AC27" s="6">
        <f t="shared" si="72"/>
        <v>1644.0659323162313</v>
      </c>
      <c r="AD27" s="6">
        <f t="shared" si="72"/>
        <v>1693.3879102857184</v>
      </c>
      <c r="AE27" s="6">
        <f t="shared" si="72"/>
        <v>1744.1895475942899</v>
      </c>
      <c r="AF27" s="6">
        <f t="shared" si="72"/>
        <v>1796.5152340221186</v>
      </c>
      <c r="AG27" s="6">
        <f t="shared" si="72"/>
        <v>1850.4106910427822</v>
      </c>
      <c r="AH27" s="6">
        <f t="shared" si="72"/>
        <v>1905.9230117740658</v>
      </c>
      <c r="AI27" s="6">
        <f t="shared" si="72"/>
        <v>1963.1007021272878</v>
      </c>
      <c r="AJ27" s="6">
        <f t="shared" si="72"/>
        <v>2021.9937231911065</v>
      </c>
      <c r="AK27" s="6">
        <f t="shared" si="72"/>
        <v>2082.6535348868397</v>
      </c>
      <c r="AL27" s="6">
        <f t="shared" si="72"/>
        <v>2145.1331409334448</v>
      </c>
      <c r="AM27" s="6">
        <f t="shared" si="72"/>
        <v>2209.4871351614484</v>
      </c>
      <c r="AN27" s="6">
        <f t="shared" si="72"/>
        <v>2275.7717492162919</v>
      </c>
      <c r="AO27" s="6">
        <f t="shared" si="72"/>
        <v>2344.044901692781</v>
      </c>
      <c r="AP27" s="6">
        <f t="shared" si="72"/>
        <v>2414.3662487435645</v>
      </c>
      <c r="AQ27" s="6">
        <f t="shared" si="72"/>
        <v>2486.7972362058713</v>
      </c>
      <c r="AR27" s="6">
        <f t="shared" si="72"/>
        <v>2561.4011532920476</v>
      </c>
      <c r="AS27" s="6">
        <f t="shared" si="72"/>
        <v>2638.2431878908092</v>
      </c>
      <c r="AT27" s="6">
        <f t="shared" si="72"/>
        <v>2717.3904835275334</v>
      </c>
      <c r="AU27" s="6">
        <f t="shared" si="72"/>
        <v>2798.9121980333593</v>
      </c>
      <c r="AV27" s="6">
        <f t="shared" si="72"/>
        <v>2882.8795639743603</v>
      </c>
      <c r="AW27" s="6">
        <f t="shared" si="72"/>
        <v>2969.3659508935912</v>
      </c>
      <c r="AX27" s="6">
        <f t="shared" si="72"/>
        <v>3058.4469294203991</v>
      </c>
      <c r="AY27" s="6">
        <f t="shared" si="72"/>
        <v>3150.2003373030111</v>
      </c>
      <c r="AZ27" s="6">
        <f t="shared" si="72"/>
        <v>3244.7063474221013</v>
      </c>
      <c r="BA27" s="6">
        <f t="shared" si="72"/>
        <v>3342.0475378447645</v>
      </c>
      <c r="BB27" s="6">
        <f t="shared" si="72"/>
        <v>3442.3089639801074</v>
      </c>
      <c r="BC27" s="6">
        <f t="shared" si="72"/>
        <v>3545.5782328995106</v>
      </c>
      <c r="BD27" s="6">
        <f t="shared" si="72"/>
        <v>3651.945579886496</v>
      </c>
      <c r="BE27" s="6">
        <f t="shared" si="72"/>
        <v>3761.5039472830908</v>
      </c>
      <c r="BF27" s="6">
        <f t="shared" si="72"/>
        <v>3874.3490657015836</v>
      </c>
      <c r="BG27" s="6">
        <f t="shared" si="72"/>
        <v>3990.5795376726314</v>
      </c>
      <c r="BH27" s="6">
        <f t="shared" si="72"/>
        <v>4110.2969238028109</v>
      </c>
      <c r="BI27" s="6">
        <f t="shared" si="72"/>
        <v>4233.6058315168957</v>
      </c>
      <c r="BJ27" s="6">
        <f t="shared" si="72"/>
        <v>4360.6140064624024</v>
      </c>
      <c r="BK27" s="6">
        <f t="shared" si="72"/>
        <v>4491.4324266562744</v>
      </c>
      <c r="BL27" s="6">
        <f t="shared" si="72"/>
        <v>4626.1753994559631</v>
      </c>
      <c r="BM27" s="6">
        <f t="shared" si="72"/>
        <v>4764.9606614396425</v>
      </c>
      <c r="BN27" s="6">
        <f t="shared" si="72"/>
        <v>4907.9094812828316</v>
      </c>
      <c r="BO27" s="6">
        <f t="shared" si="72"/>
        <v>5055.146765721317</v>
      </c>
      <c r="BP27" s="6">
        <f t="shared" si="72"/>
        <v>5206.8011686929567</v>
      </c>
    </row>
    <row r="28" spans="1:68" x14ac:dyDescent="0.2">
      <c r="B28" s="1" t="s">
        <v>2</v>
      </c>
      <c r="C28" s="1">
        <v>161.32300000000001</v>
      </c>
      <c r="D28" s="1">
        <v>162.755</v>
      </c>
      <c r="E28" s="1">
        <v>164.381</v>
      </c>
      <c r="F28" s="1">
        <v>166.00200000000001</v>
      </c>
      <c r="G28" s="1">
        <v>167.465</v>
      </c>
      <c r="H28" s="1">
        <v>174.44300000000001</v>
      </c>
      <c r="I28" s="1">
        <v>170.673</v>
      </c>
      <c r="N28" s="1">
        <v>148.036</v>
      </c>
      <c r="O28" s="1">
        <v>158.023</v>
      </c>
      <c r="P28" s="1">
        <v>163.63399999999999</v>
      </c>
      <c r="Q28" s="1">
        <f>+I28*1.01</f>
        <v>172.37973</v>
      </c>
      <c r="R28" s="1">
        <f>+Q28*1.01</f>
        <v>174.1035273</v>
      </c>
      <c r="S28" s="1">
        <f t="shared" ref="S28:V28" si="73">+R28*1.01</f>
        <v>175.84456257299999</v>
      </c>
      <c r="T28" s="1">
        <f t="shared" si="73"/>
        <v>177.60300819872998</v>
      </c>
      <c r="U28" s="1">
        <f t="shared" si="73"/>
        <v>179.37903828071728</v>
      </c>
      <c r="V28" s="1">
        <f t="shared" si="73"/>
        <v>181.17282866352446</v>
      </c>
    </row>
    <row r="29" spans="1:68" x14ac:dyDescent="0.2">
      <c r="B29" s="1" t="s">
        <v>25</v>
      </c>
      <c r="C29" s="7">
        <f t="shared" ref="C29:H29" si="74">+C27/C28</f>
        <v>-0.73765055199816509</v>
      </c>
      <c r="D29" s="7">
        <f t="shared" si="74"/>
        <v>-0.68200669718288232</v>
      </c>
      <c r="E29" s="7">
        <f t="shared" si="74"/>
        <v>-0.49275767880716143</v>
      </c>
      <c r="F29" s="7">
        <f t="shared" si="74"/>
        <v>-0.26505704750545173</v>
      </c>
      <c r="G29" s="7">
        <f t="shared" si="74"/>
        <v>-0.23885588033320396</v>
      </c>
      <c r="H29" s="7">
        <f t="shared" si="74"/>
        <v>0.16624341475438967</v>
      </c>
      <c r="I29" s="7">
        <f>+I27/I28</f>
        <v>9.3746521125192619E-2</v>
      </c>
      <c r="L29" s="7" t="e">
        <f t="shared" ref="L29" si="75">+L27/L28</f>
        <v>#DIV/0!</v>
      </c>
      <c r="M29" s="7" t="e">
        <f t="shared" ref="M29" si="76">+M27/M28</f>
        <v>#DIV/0!</v>
      </c>
      <c r="N29" s="7">
        <f t="shared" ref="N29" si="77">+N27/N28</f>
        <v>-5.7283363506174174</v>
      </c>
      <c r="O29" s="7">
        <f t="shared" ref="O29" si="78">+O27/O28</f>
        <v>-5.1574770761218307</v>
      </c>
      <c r="P29" s="7">
        <f t="shared" ref="P29" si="79">+P27/P28</f>
        <v>-2.1694757813168413</v>
      </c>
      <c r="Q29" s="7">
        <f t="shared" ref="Q29" si="80">+Q27/Q28</f>
        <v>0.11043711461898525</v>
      </c>
      <c r="R29" s="7">
        <f t="shared" ref="R29" si="81">+R27/R28</f>
        <v>1.6680717817484447</v>
      </c>
      <c r="S29" s="7">
        <f t="shared" ref="S29" si="82">+S27/S28</f>
        <v>2.9271613217932999</v>
      </c>
      <c r="T29" s="7">
        <f t="shared" ref="T29" si="83">+T27/T28</f>
        <v>4.7060047884324216</v>
      </c>
      <c r="U29" s="7">
        <f t="shared" ref="U29" si="84">+U27/U28</f>
        <v>6.2325471116214608</v>
      </c>
      <c r="V29" s="7">
        <f t="shared" ref="V29" si="85">+V27/V28</f>
        <v>7.3784577053648297</v>
      </c>
    </row>
    <row r="31" spans="1:68" x14ac:dyDescent="0.2">
      <c r="B31" s="1" t="s">
        <v>30</v>
      </c>
      <c r="G31" s="8">
        <f t="shared" ref="G31" si="86">+G13/C13-1</f>
        <v>0.19111969111969107</v>
      </c>
      <c r="H31" s="8">
        <f t="shared" ref="H31" si="87">+H13/D13-1</f>
        <v>0.16187050359712241</v>
      </c>
      <c r="I31" s="8">
        <f>+I13/E13-1</f>
        <v>0.13869863013698636</v>
      </c>
      <c r="O31" s="9">
        <f t="shared" ref="O31:P31" si="88">+O13/N13-1</f>
        <v>0.4292307692307693</v>
      </c>
      <c r="P31" s="9">
        <f>+P13/O13-1</f>
        <v>0.21797631862217437</v>
      </c>
      <c r="Q31" s="9">
        <f t="shared" ref="Q31:V31" si="89">+Q13/P13-1</f>
        <v>0.15139195757843571</v>
      </c>
      <c r="R31" s="9">
        <f t="shared" si="89"/>
        <v>0.125</v>
      </c>
      <c r="S31" s="9">
        <f t="shared" si="89"/>
        <v>0.10000000000000009</v>
      </c>
      <c r="T31" s="9">
        <f t="shared" si="89"/>
        <v>9.000000000000008E-2</v>
      </c>
      <c r="U31" s="9">
        <f t="shared" si="89"/>
        <v>8.0000000000000071E-2</v>
      </c>
      <c r="V31" s="9">
        <f t="shared" si="89"/>
        <v>7.0000000000000062E-2</v>
      </c>
    </row>
    <row r="33" spans="2:22" x14ac:dyDescent="0.2">
      <c r="B33" s="1" t="s">
        <v>31</v>
      </c>
      <c r="C33" s="9">
        <f t="shared" ref="C33:G33" si="90">+C16/C13</f>
        <v>0.72586872586872586</v>
      </c>
      <c r="D33" s="9">
        <f t="shared" si="90"/>
        <v>0.73201438848920863</v>
      </c>
      <c r="E33" s="9">
        <f t="shared" si="90"/>
        <v>0.75171232876712324</v>
      </c>
      <c r="F33" s="9">
        <f t="shared" si="90"/>
        <v>0.76033057851239672</v>
      </c>
      <c r="G33" s="9">
        <f t="shared" ref="G33:H33" si="91">+G16/G13</f>
        <v>0.76012965964343593</v>
      </c>
      <c r="H33" s="9">
        <f t="shared" ref="H33:I33" si="92">+H16/H13</f>
        <v>0.76006191950464397</v>
      </c>
      <c r="I33" s="9">
        <f>+I16/I13</f>
        <v>0.76390977443609021</v>
      </c>
      <c r="J33" s="9"/>
      <c r="N33" s="9">
        <f t="shared" ref="N33:P33" si="93">+N16/N13</f>
        <v>0.69538461538461538</v>
      </c>
      <c r="O33" s="9">
        <f t="shared" si="93"/>
        <v>0.70613562970936494</v>
      </c>
      <c r="P33" s="9">
        <f t="shared" si="93"/>
        <v>0.74326115775519219</v>
      </c>
      <c r="Q33" s="9">
        <f t="shared" ref="Q33:V33" si="94">+Q16/Q13</f>
        <v>0.76208412649677626</v>
      </c>
      <c r="R33" s="9">
        <f t="shared" si="94"/>
        <v>0.76400000000000001</v>
      </c>
      <c r="S33" s="9">
        <f t="shared" si="94"/>
        <v>0.76400000000000001</v>
      </c>
      <c r="T33" s="9">
        <f t="shared" si="94"/>
        <v>0.76400000000000012</v>
      </c>
      <c r="U33" s="9">
        <f t="shared" si="94"/>
        <v>0.76400000000000001</v>
      </c>
      <c r="V33" s="9">
        <f t="shared" si="94"/>
        <v>0.76400000000000001</v>
      </c>
    </row>
    <row r="34" spans="2:22" x14ac:dyDescent="0.2">
      <c r="B34" s="1" t="s">
        <v>32</v>
      </c>
      <c r="C34" s="9">
        <f t="shared" ref="C34:G34" si="95">+C22/C13</f>
        <v>-0.30888030888030887</v>
      </c>
      <c r="D34" s="9">
        <f t="shared" si="95"/>
        <v>-0.29136690647482016</v>
      </c>
      <c r="E34" s="9">
        <f t="shared" si="95"/>
        <v>-0.19006849315068494</v>
      </c>
      <c r="F34" s="9">
        <f t="shared" si="95"/>
        <v>-0.13719008264462809</v>
      </c>
      <c r="G34" s="9">
        <f t="shared" ref="G34:H34" si="96">+G22/G13</f>
        <v>-7.6175040518638576E-2</v>
      </c>
      <c r="H34" s="9">
        <f t="shared" ref="H34:I34" si="97">+H22/H13</f>
        <v>-2.9411764705882353E-2</v>
      </c>
      <c r="I34" s="9">
        <f>+I22/I13</f>
        <v>-2.4060150375939851E-2</v>
      </c>
      <c r="J34" s="9"/>
      <c r="N34" s="9">
        <f t="shared" ref="N34:P34" si="98">+N22/N13</f>
        <v>-0.59076923076923082</v>
      </c>
      <c r="O34" s="9">
        <f t="shared" si="98"/>
        <v>-0.43702906350914961</v>
      </c>
      <c r="P34" s="9">
        <f t="shared" si="98"/>
        <v>-0.22801590808661068</v>
      </c>
      <c r="Q34" s="9">
        <f t="shared" ref="Q34:V34" si="99">+Q22/Q13</f>
        <v>-3.433128645993256E-2</v>
      </c>
      <c r="R34" s="9">
        <f t="shared" si="99"/>
        <v>0.104</v>
      </c>
      <c r="S34" s="9">
        <f t="shared" si="99"/>
        <v>0.17900000000000002</v>
      </c>
      <c r="T34" s="9">
        <f t="shared" si="99"/>
        <v>0.27400000000000002</v>
      </c>
      <c r="U34" s="9">
        <f t="shared" si="99"/>
        <v>0.33900000000000002</v>
      </c>
      <c r="V34" s="9">
        <f t="shared" si="99"/>
        <v>0.37400000000000005</v>
      </c>
    </row>
    <row r="35" spans="2:22" x14ac:dyDescent="0.2">
      <c r="B35" s="1" t="s">
        <v>33</v>
      </c>
      <c r="C35" s="9">
        <f t="shared" ref="C35:G35" si="100">+C27/C13</f>
        <v>-0.22972972972972974</v>
      </c>
      <c r="D35" s="9">
        <f t="shared" si="100"/>
        <v>-0.19964028776978418</v>
      </c>
      <c r="E35" s="9">
        <f t="shared" si="100"/>
        <v>-0.1386986301369863</v>
      </c>
      <c r="F35" s="9">
        <f t="shared" si="100"/>
        <v>-7.2727272727272724E-2</v>
      </c>
      <c r="G35" s="9">
        <f t="shared" ref="G35:H35" si="101">+G27/G13</f>
        <v>-6.4829821717990274E-2</v>
      </c>
      <c r="H35" s="9">
        <f t="shared" ref="H35:I35" si="102">+H27/H13</f>
        <v>4.4891640866873063E-2</v>
      </c>
      <c r="I35" s="9">
        <f>+I27/I13</f>
        <v>2.4060150375939851E-2</v>
      </c>
      <c r="J35" s="9"/>
      <c r="N35" s="9">
        <f t="shared" ref="N35:P35" si="103">+N27/N13</f>
        <v>-0.65230769230769226</v>
      </c>
      <c r="O35" s="9">
        <f t="shared" si="103"/>
        <v>-0.43864370290635091</v>
      </c>
      <c r="P35" s="9">
        <f t="shared" si="103"/>
        <v>-0.15687140963323024</v>
      </c>
      <c r="Q35" s="9">
        <f t="shared" ref="Q35:V35" si="104">+Q27/Q13</f>
        <v>7.3062327295055777E-3</v>
      </c>
      <c r="R35" s="9">
        <f t="shared" si="104"/>
        <v>9.90745338218538E-2</v>
      </c>
      <c r="S35" s="9">
        <f t="shared" si="104"/>
        <v>0.15963299008238582</v>
      </c>
      <c r="T35" s="9">
        <f t="shared" si="104"/>
        <v>0.23780623171466903</v>
      </c>
      <c r="U35" s="9">
        <f t="shared" si="104"/>
        <v>0.29453306355264125</v>
      </c>
      <c r="V35" s="9">
        <f t="shared" si="104"/>
        <v>0.32913318538402314</v>
      </c>
    </row>
    <row r="37" spans="2:22" x14ac:dyDescent="0.2">
      <c r="B37" s="1" t="s">
        <v>34</v>
      </c>
      <c r="C37" s="1">
        <v>129</v>
      </c>
      <c r="D37" s="1">
        <f>182-C37</f>
        <v>53</v>
      </c>
      <c r="E37" s="1">
        <f>338-D37-C37</f>
        <v>156</v>
      </c>
      <c r="F37" s="1">
        <f>512-E37-D37-C37</f>
        <v>174</v>
      </c>
      <c r="G37" s="1">
        <v>219</v>
      </c>
      <c r="H37" s="1">
        <f>305-G37</f>
        <v>86</v>
      </c>
      <c r="I37" s="1">
        <f>464-H37-G37</f>
        <v>159</v>
      </c>
      <c r="N37" s="1">
        <v>104</v>
      </c>
      <c r="O37" s="1">
        <v>86</v>
      </c>
      <c r="P37" s="1">
        <v>512</v>
      </c>
    </row>
    <row r="38" spans="2:22" x14ac:dyDescent="0.2">
      <c r="B38" s="1" t="s">
        <v>35</v>
      </c>
      <c r="C38" s="1">
        <v>5</v>
      </c>
      <c r="D38" s="1">
        <f>7+2-C38</f>
        <v>4</v>
      </c>
      <c r="E38" s="1">
        <f>10+5-D38-C38</f>
        <v>6</v>
      </c>
      <c r="F38" s="1">
        <f>15+8-E38-D38-C38</f>
        <v>8</v>
      </c>
      <c r="G38" s="1">
        <v>5</v>
      </c>
      <c r="H38" s="1">
        <f>7+6-G38</f>
        <v>8</v>
      </c>
      <c r="I38" s="1">
        <f>11+7-H38-G38</f>
        <v>5</v>
      </c>
      <c r="N38" s="1">
        <v>17</v>
      </c>
      <c r="O38" s="1">
        <v>21</v>
      </c>
      <c r="P38" s="1">
        <v>23</v>
      </c>
    </row>
    <row r="39" spans="2:22" x14ac:dyDescent="0.2">
      <c r="B39" s="5" t="s">
        <v>36</v>
      </c>
      <c r="C39" s="5">
        <f t="shared" ref="C39" si="105">+C37-C38</f>
        <v>124</v>
      </c>
      <c r="D39" s="5">
        <f t="shared" ref="D39" si="106">+D37-D38</f>
        <v>49</v>
      </c>
      <c r="E39" s="5">
        <f>+E37-E38</f>
        <v>150</v>
      </c>
      <c r="F39" s="5">
        <f t="shared" ref="F39" si="107">+F37-F38</f>
        <v>166</v>
      </c>
      <c r="G39" s="5">
        <f t="shared" ref="G39" si="108">+G37-G38</f>
        <v>214</v>
      </c>
      <c r="H39" s="5">
        <f t="shared" ref="H39" si="109">+H37-H38</f>
        <v>78</v>
      </c>
      <c r="I39" s="5">
        <f>+I37-I38</f>
        <v>154</v>
      </c>
      <c r="N39" s="5">
        <f t="shared" ref="N39:P39" si="110">+N37-N38</f>
        <v>87</v>
      </c>
      <c r="O39" s="5">
        <f t="shared" si="110"/>
        <v>65</v>
      </c>
      <c r="P39" s="5">
        <f t="shared" si="110"/>
        <v>489</v>
      </c>
    </row>
    <row r="40" spans="2:22" x14ac:dyDescent="0.2">
      <c r="B40" s="1" t="s">
        <v>41</v>
      </c>
      <c r="F40" s="1">
        <f t="shared" ref="F40:H40" si="111">+SUM(C39:F39)</f>
        <v>489</v>
      </c>
      <c r="G40" s="1">
        <f t="shared" si="111"/>
        <v>579</v>
      </c>
      <c r="H40" s="1">
        <f t="shared" si="111"/>
        <v>608</v>
      </c>
      <c r="I40" s="1">
        <f>+SUM(F39:I39)</f>
        <v>612</v>
      </c>
    </row>
    <row r="42" spans="2:22" x14ac:dyDescent="0.2">
      <c r="B42" s="1" t="s">
        <v>43</v>
      </c>
      <c r="I42" s="3">
        <v>1390</v>
      </c>
      <c r="P42" s="3">
        <f>+I42+160</f>
        <v>1550</v>
      </c>
      <c r="Q42" s="3">
        <f>+P42+Q27</f>
        <v>1569.0371199999997</v>
      </c>
      <c r="R42" s="3">
        <f t="shared" ref="R42:V42" si="112">+Q42+R27</f>
        <v>1859.4543009919998</v>
      </c>
      <c r="S42" s="3">
        <f t="shared" si="112"/>
        <v>2374.1797032033473</v>
      </c>
      <c r="T42" s="3">
        <f t="shared" si="112"/>
        <v>3209.9803102265732</v>
      </c>
      <c r="U42" s="3">
        <f t="shared" si="112"/>
        <v>4327.9686171484936</v>
      </c>
      <c r="V42" s="3">
        <f t="shared" si="112"/>
        <v>5664.7446708036177</v>
      </c>
    </row>
    <row r="44" spans="2:22" x14ac:dyDescent="0.2">
      <c r="B44" s="1" t="s">
        <v>44</v>
      </c>
      <c r="C44" s="9">
        <f>+C17/C$13</f>
        <v>0.31467181467181465</v>
      </c>
      <c r="D44" s="9">
        <f>+D17/D$13</f>
        <v>0.30935251798561153</v>
      </c>
      <c r="E44" s="9">
        <f>+E17/E$13</f>
        <v>0.28253424657534248</v>
      </c>
      <c r="F44" s="9">
        <f>+F17/F$13</f>
        <v>0.25785123966942147</v>
      </c>
      <c r="G44" s="9">
        <f>+G17/G$13</f>
        <v>0.26418152350081037</v>
      </c>
      <c r="H44" s="9">
        <f>+H17/H$13</f>
        <v>0.25386996904024767</v>
      </c>
      <c r="I44" s="9">
        <f>+I17/I$13</f>
        <v>0.23759398496240602</v>
      </c>
      <c r="L44" s="9" t="e">
        <f t="shared" ref="L44:P44" si="113">+L17/L$13</f>
        <v>#DIV/0!</v>
      </c>
      <c r="M44" s="9" t="e">
        <f t="shared" si="113"/>
        <v>#DIV/0!</v>
      </c>
      <c r="N44" s="9">
        <f t="shared" si="113"/>
        <v>0.36076923076923079</v>
      </c>
      <c r="O44" s="9">
        <f t="shared" si="113"/>
        <v>0.33369214208826697</v>
      </c>
      <c r="P44" s="9">
        <f t="shared" si="113"/>
        <v>0.28988068935041977</v>
      </c>
      <c r="Q44" s="9">
        <f t="shared" ref="Q44:V44" si="114">+Q17/Q$13</f>
        <v>0.2446499846484495</v>
      </c>
      <c r="R44" s="9">
        <f t="shared" si="114"/>
        <v>0.2</v>
      </c>
      <c r="S44" s="9">
        <f t="shared" si="114"/>
        <v>0.17499999999999999</v>
      </c>
      <c r="T44" s="9">
        <f t="shared" si="114"/>
        <v>0.15</v>
      </c>
      <c r="U44" s="9">
        <f t="shared" si="114"/>
        <v>0.125</v>
      </c>
      <c r="V44" s="9">
        <f t="shared" si="114"/>
        <v>0.1</v>
      </c>
    </row>
    <row r="45" spans="2:22" x14ac:dyDescent="0.2">
      <c r="B45" s="1" t="s">
        <v>45</v>
      </c>
      <c r="C45" s="9">
        <f>+C18/C$13</f>
        <v>0.49420849420849422</v>
      </c>
      <c r="D45" s="9">
        <f t="shared" ref="D45:I45" si="115">+D18/D$13</f>
        <v>0.4694244604316547</v>
      </c>
      <c r="E45" s="9">
        <f t="shared" si="115"/>
        <v>0.46232876712328769</v>
      </c>
      <c r="F45" s="9">
        <f t="shared" si="115"/>
        <v>0.4115702479338843</v>
      </c>
      <c r="G45" s="9">
        <f t="shared" si="115"/>
        <v>0.38249594813614263</v>
      </c>
      <c r="H45" s="9">
        <f t="shared" si="115"/>
        <v>0.36842105263157893</v>
      </c>
      <c r="I45" s="9">
        <f t="shared" si="115"/>
        <v>0.38496240601503762</v>
      </c>
      <c r="L45" s="9" t="e">
        <f t="shared" ref="L45:P45" si="116">+L18/L$13</f>
        <v>#DIV/0!</v>
      </c>
      <c r="M45" s="9" t="e">
        <f t="shared" si="116"/>
        <v>#DIV/0!</v>
      </c>
      <c r="N45" s="9">
        <f t="shared" si="116"/>
        <v>0.59307692307692306</v>
      </c>
      <c r="O45" s="9">
        <f t="shared" si="116"/>
        <v>0.57373519913885895</v>
      </c>
      <c r="P45" s="9">
        <f t="shared" si="116"/>
        <v>0.45779938135218734</v>
      </c>
      <c r="Q45" s="9">
        <f t="shared" ref="Q45:V45" si="117">+Q18/Q$13</f>
        <v>0.38158735032238256</v>
      </c>
      <c r="R45" s="9">
        <f t="shared" si="117"/>
        <v>0.3</v>
      </c>
      <c r="S45" s="9">
        <f t="shared" si="117"/>
        <v>0.26</v>
      </c>
      <c r="T45" s="9">
        <f t="shared" si="117"/>
        <v>0.23</v>
      </c>
      <c r="U45" s="9">
        <f t="shared" si="117"/>
        <v>0.19</v>
      </c>
      <c r="V45" s="9">
        <f t="shared" si="117"/>
        <v>0.19</v>
      </c>
    </row>
    <row r="46" spans="2:22" x14ac:dyDescent="0.2">
      <c r="B46" s="1" t="s">
        <v>46</v>
      </c>
      <c r="C46" s="9">
        <f>+C19/C$13</f>
        <v>0.21235521235521235</v>
      </c>
      <c r="D46" s="9">
        <f>+D19/D$13</f>
        <v>0.21402877697841727</v>
      </c>
      <c r="E46" s="9">
        <f>+E19/E$13</f>
        <v>0.19006849315068494</v>
      </c>
      <c r="F46" s="9">
        <f>+F19/F$13</f>
        <v>0.18181818181818182</v>
      </c>
      <c r="G46" s="9">
        <f>+G19/G$13</f>
        <v>0.18962722852512157</v>
      </c>
      <c r="H46" s="9">
        <f>+H19/H$13</f>
        <v>0.16718266253869968</v>
      </c>
      <c r="I46" s="9">
        <f>+I19/I$13</f>
        <v>0.16541353383458646</v>
      </c>
      <c r="L46" s="9" t="e">
        <f t="shared" ref="L46:P46" si="118">+L19/L$13</f>
        <v>#DIV/0!</v>
      </c>
      <c r="M46" s="9" t="e">
        <f t="shared" si="118"/>
        <v>#DIV/0!</v>
      </c>
      <c r="N46" s="9">
        <f t="shared" si="118"/>
        <v>0.3323076923076923</v>
      </c>
      <c r="O46" s="9">
        <f t="shared" si="118"/>
        <v>0.2201291711517761</v>
      </c>
      <c r="P46" s="9">
        <f t="shared" si="118"/>
        <v>0.19885108263367213</v>
      </c>
      <c r="Q46" s="9">
        <f t="shared" ref="Q46:V46" si="119">+Q19/Q$13</f>
        <v>0.17017807798587659</v>
      </c>
      <c r="R46" s="9">
        <f t="shared" si="119"/>
        <v>0.16</v>
      </c>
      <c r="S46" s="9">
        <f t="shared" si="119"/>
        <v>0.15</v>
      </c>
      <c r="T46" s="9">
        <f t="shared" si="119"/>
        <v>0.11</v>
      </c>
      <c r="U46" s="9">
        <f t="shared" si="119"/>
        <v>0.11</v>
      </c>
      <c r="V46" s="9">
        <f t="shared" si="119"/>
        <v>0.1</v>
      </c>
    </row>
  </sheetData>
  <hyperlinks>
    <hyperlink ref="A1" location="main!A1" display="main" xr:uid="{D0E324AE-3CE1-4961-ADFD-6FAE64C26437}"/>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2024-12-29T11:46:43Z</dcterms:created>
  <dcterms:modified xsi:type="dcterms:W3CDTF">2024-12-29T16:02:18Z</dcterms:modified>
</cp:coreProperties>
</file>