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Models/"/>
    </mc:Choice>
  </mc:AlternateContent>
  <xr:revisionPtr revIDLastSave="878" documentId="8_{57ED6435-BC6A-4897-8FAC-07CFF0AAFF2B}" xr6:coauthVersionLast="47" xr6:coauthVersionMax="47" xr10:uidLastSave="{D0706804-7B3A-4E53-8EB9-8E1FA42AEF4E}"/>
  <bookViews>
    <workbookView xWindow="-120" yWindow="-120" windowWidth="29040" windowHeight="15720" xr2:uid="{A56794C1-3983-4703-BA01-403D97BC0465}"/>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 l="1" a="1"/>
  <c r="B2" i="1" s="1"/>
  <c r="U3" i="2"/>
  <c r="V3" i="2" s="1"/>
  <c r="W3" i="2" s="1"/>
  <c r="U16" i="2"/>
  <c r="V16" i="2" s="1"/>
  <c r="W16" i="2" s="1"/>
  <c r="X16" i="2" s="1"/>
  <c r="Y16" i="2" s="1"/>
  <c r="Z16" i="2" s="1"/>
  <c r="U14" i="2"/>
  <c r="U32" i="2" s="1"/>
  <c r="U2" i="2"/>
  <c r="V2" i="2" s="1"/>
  <c r="W2" i="2" s="1"/>
  <c r="T92" i="2"/>
  <c r="AC6" i="2" s="1"/>
  <c r="U22" i="2"/>
  <c r="V22" i="2" s="1"/>
  <c r="W22" i="2" s="1"/>
  <c r="X22" i="2" s="1"/>
  <c r="Y22" i="2" s="1"/>
  <c r="Z22" i="2" s="1"/>
  <c r="T34" i="2"/>
  <c r="S34" i="2"/>
  <c r="R34" i="2"/>
  <c r="Q34" i="2"/>
  <c r="T33" i="2"/>
  <c r="S33" i="2"/>
  <c r="R33" i="2"/>
  <c r="Q33" i="2"/>
  <c r="S32" i="2"/>
  <c r="R32" i="2"/>
  <c r="Q32" i="2"/>
  <c r="T32" i="2"/>
  <c r="U9" i="2"/>
  <c r="V9" i="2" s="1"/>
  <c r="W9" i="2" s="1"/>
  <c r="X9" i="2" s="1"/>
  <c r="Y9" i="2" s="1"/>
  <c r="Z9" i="2" s="1"/>
  <c r="U34" i="2" l="1"/>
  <c r="V14" i="2"/>
  <c r="W14" i="2" s="1"/>
  <c r="X14" i="2" s="1"/>
  <c r="Y14" i="2" s="1"/>
  <c r="Z14" i="2" s="1"/>
  <c r="U20" i="2"/>
  <c r="X3" i="2"/>
  <c r="Y3" i="2" s="1"/>
  <c r="Z3" i="2" s="1"/>
  <c r="X2" i="2"/>
  <c r="Y2" i="2" s="1"/>
  <c r="Z2" i="2" s="1"/>
  <c r="W34" i="2"/>
  <c r="V34" i="2"/>
  <c r="S42" i="2"/>
  <c r="R42" i="2"/>
  <c r="Q42" i="2"/>
  <c r="P42" i="2"/>
  <c r="S29" i="2"/>
  <c r="R29" i="2"/>
  <c r="Q29" i="2"/>
  <c r="S28" i="2"/>
  <c r="R28" i="2"/>
  <c r="Q28" i="2"/>
  <c r="S27" i="2"/>
  <c r="R27" i="2"/>
  <c r="Q27" i="2"/>
  <c r="P17" i="2"/>
  <c r="P12" i="2"/>
  <c r="P38" i="2" s="1"/>
  <c r="P11" i="2"/>
  <c r="P37" i="2" s="1"/>
  <c r="P10" i="2"/>
  <c r="P36" i="2" s="1"/>
  <c r="P6" i="2"/>
  <c r="U8" i="2"/>
  <c r="U7" i="2"/>
  <c r="U4" i="2"/>
  <c r="U29" i="2" s="1"/>
  <c r="J29" i="2"/>
  <c r="I29" i="2"/>
  <c r="H29" i="2"/>
  <c r="G29" i="2"/>
  <c r="F29" i="2"/>
  <c r="J28" i="2"/>
  <c r="I28" i="2"/>
  <c r="H28" i="2"/>
  <c r="G28" i="2"/>
  <c r="F28" i="2"/>
  <c r="J27" i="2"/>
  <c r="I27" i="2"/>
  <c r="H27" i="2"/>
  <c r="G27" i="2"/>
  <c r="F27" i="2"/>
  <c r="M43" i="2"/>
  <c r="L43" i="2"/>
  <c r="K43" i="2"/>
  <c r="L29" i="2"/>
  <c r="K29" i="2"/>
  <c r="L28" i="2"/>
  <c r="K28" i="2"/>
  <c r="L27" i="2"/>
  <c r="K27" i="2"/>
  <c r="M29" i="2"/>
  <c r="M28" i="2"/>
  <c r="M27" i="2"/>
  <c r="V32" i="2" l="1"/>
  <c r="X34" i="2"/>
  <c r="W7" i="2"/>
  <c r="V28" i="2"/>
  <c r="V4" i="2"/>
  <c r="V29" i="2" s="1"/>
  <c r="U27" i="2"/>
  <c r="W8" i="2"/>
  <c r="V8" i="2"/>
  <c r="V11" i="2" s="1"/>
  <c r="V37" i="2" s="1"/>
  <c r="P13" i="2"/>
  <c r="U28" i="2"/>
  <c r="S109" i="2"/>
  <c r="T109" i="2"/>
  <c r="T87" i="2"/>
  <c r="T85" i="2"/>
  <c r="T83" i="2"/>
  <c r="T78" i="2"/>
  <c r="T70" i="2"/>
  <c r="T29" i="2"/>
  <c r="T28" i="2"/>
  <c r="T27" i="2"/>
  <c r="R1" i="2"/>
  <c r="S1" i="2" s="1"/>
  <c r="T1" i="2" s="1"/>
  <c r="U1" i="2" s="1"/>
  <c r="V1" i="2" s="1"/>
  <c r="W1" i="2" s="1"/>
  <c r="X1" i="2" s="1"/>
  <c r="Y1" i="2" s="1"/>
  <c r="Z1" i="2" s="1"/>
  <c r="U12" i="2"/>
  <c r="U38" i="2" s="1"/>
  <c r="U11" i="2"/>
  <c r="U37" i="2" s="1"/>
  <c r="U10" i="2"/>
  <c r="U36" i="2" s="1"/>
  <c r="U6" i="2"/>
  <c r="U15" i="2" s="1"/>
  <c r="U33" i="2" s="1"/>
  <c r="T17" i="2"/>
  <c r="T12" i="2"/>
  <c r="T38" i="2" s="1"/>
  <c r="T11" i="2"/>
  <c r="T37" i="2" s="1"/>
  <c r="T10" i="2"/>
  <c r="T36" i="2" s="1"/>
  <c r="T6" i="2"/>
  <c r="S17" i="2"/>
  <c r="S12" i="2"/>
  <c r="S38" i="2" s="1"/>
  <c r="S11" i="2"/>
  <c r="S37" i="2" s="1"/>
  <c r="S10" i="2"/>
  <c r="S36" i="2" s="1"/>
  <c r="S6" i="2"/>
  <c r="R17" i="2"/>
  <c r="R12" i="2"/>
  <c r="R38" i="2" s="1"/>
  <c r="R11" i="2"/>
  <c r="R37" i="2" s="1"/>
  <c r="R10" i="2"/>
  <c r="R36" i="2" s="1"/>
  <c r="R6" i="2"/>
  <c r="Q17" i="2"/>
  <c r="Q12" i="2"/>
  <c r="Q38" i="2" s="1"/>
  <c r="Q11" i="2"/>
  <c r="Q37" i="2" s="1"/>
  <c r="Q10" i="2"/>
  <c r="Q36" i="2" s="1"/>
  <c r="Q6" i="2"/>
  <c r="Q30" i="2" s="1"/>
  <c r="N87" i="2"/>
  <c r="N85" i="2"/>
  <c r="N83" i="2"/>
  <c r="J78" i="2"/>
  <c r="M78" i="2"/>
  <c r="L78" i="2"/>
  <c r="K78" i="2"/>
  <c r="I78" i="2"/>
  <c r="H78" i="2"/>
  <c r="G78" i="2"/>
  <c r="F78" i="2"/>
  <c r="E78" i="2"/>
  <c r="D78" i="2"/>
  <c r="C78" i="2"/>
  <c r="B78" i="2"/>
  <c r="M70" i="2"/>
  <c r="L70" i="2"/>
  <c r="K70" i="2"/>
  <c r="J70" i="2"/>
  <c r="I70" i="2"/>
  <c r="H70" i="2"/>
  <c r="G70" i="2"/>
  <c r="F70" i="2"/>
  <c r="E70" i="2"/>
  <c r="D70" i="2"/>
  <c r="C70" i="2"/>
  <c r="B70" i="2"/>
  <c r="N78" i="2"/>
  <c r="N70" i="2"/>
  <c r="N29" i="2"/>
  <c r="N28" i="2"/>
  <c r="N27" i="2"/>
  <c r="M17" i="2"/>
  <c r="L17" i="2"/>
  <c r="K17" i="2"/>
  <c r="J17" i="2"/>
  <c r="I17" i="2"/>
  <c r="H17" i="2"/>
  <c r="G17" i="2"/>
  <c r="F17" i="2"/>
  <c r="E17" i="2"/>
  <c r="D17" i="2"/>
  <c r="C17" i="2"/>
  <c r="B17" i="2"/>
  <c r="N17" i="2"/>
  <c r="M12" i="2"/>
  <c r="M38" i="2" s="1"/>
  <c r="L12" i="2"/>
  <c r="L38" i="2" s="1"/>
  <c r="K12" i="2"/>
  <c r="K38" i="2" s="1"/>
  <c r="J12" i="2"/>
  <c r="J38" i="2" s="1"/>
  <c r="I12" i="2"/>
  <c r="I38" i="2" s="1"/>
  <c r="H12" i="2"/>
  <c r="H38" i="2" s="1"/>
  <c r="G12" i="2"/>
  <c r="G38" i="2" s="1"/>
  <c r="F12" i="2"/>
  <c r="F38" i="2" s="1"/>
  <c r="E12" i="2"/>
  <c r="E38" i="2" s="1"/>
  <c r="D12" i="2"/>
  <c r="D38" i="2" s="1"/>
  <c r="C12" i="2"/>
  <c r="C38" i="2" s="1"/>
  <c r="B12" i="2"/>
  <c r="B38" i="2" s="1"/>
  <c r="M11" i="2"/>
  <c r="M37" i="2" s="1"/>
  <c r="L11" i="2"/>
  <c r="L37" i="2" s="1"/>
  <c r="K11" i="2"/>
  <c r="K37" i="2" s="1"/>
  <c r="J11" i="2"/>
  <c r="J37" i="2" s="1"/>
  <c r="I11" i="2"/>
  <c r="I37" i="2" s="1"/>
  <c r="H11" i="2"/>
  <c r="H37" i="2" s="1"/>
  <c r="G11" i="2"/>
  <c r="G37" i="2" s="1"/>
  <c r="F11" i="2"/>
  <c r="F37" i="2" s="1"/>
  <c r="E11" i="2"/>
  <c r="E37" i="2" s="1"/>
  <c r="D11" i="2"/>
  <c r="D37" i="2" s="1"/>
  <c r="C11" i="2"/>
  <c r="C37" i="2" s="1"/>
  <c r="B11" i="2"/>
  <c r="B37" i="2" s="1"/>
  <c r="M10" i="2"/>
  <c r="M36" i="2" s="1"/>
  <c r="L10" i="2"/>
  <c r="L36" i="2" s="1"/>
  <c r="K10" i="2"/>
  <c r="K36" i="2" s="1"/>
  <c r="J10" i="2"/>
  <c r="J36" i="2" s="1"/>
  <c r="I10" i="2"/>
  <c r="I36" i="2" s="1"/>
  <c r="H10" i="2"/>
  <c r="H36" i="2" s="1"/>
  <c r="G10" i="2"/>
  <c r="G36" i="2" s="1"/>
  <c r="F10" i="2"/>
  <c r="F36" i="2" s="1"/>
  <c r="E10" i="2"/>
  <c r="E36" i="2" s="1"/>
  <c r="D10" i="2"/>
  <c r="D36" i="2" s="1"/>
  <c r="C10" i="2"/>
  <c r="C36" i="2" s="1"/>
  <c r="B10" i="2"/>
  <c r="B36" i="2" s="1"/>
  <c r="N12" i="2"/>
  <c r="N38" i="2" s="1"/>
  <c r="N11" i="2"/>
  <c r="N37" i="2" s="1"/>
  <c r="N10" i="2"/>
  <c r="N36" i="2" s="1"/>
  <c r="M6" i="2"/>
  <c r="L6" i="2"/>
  <c r="K6" i="2"/>
  <c r="J6" i="2"/>
  <c r="I6" i="2"/>
  <c r="H6" i="2"/>
  <c r="G6" i="2"/>
  <c r="F6" i="2"/>
  <c r="E6" i="2"/>
  <c r="D6" i="2"/>
  <c r="C6" i="2"/>
  <c r="B6" i="2"/>
  <c r="N6" i="2"/>
  <c r="B5" i="1"/>
  <c r="B3" i="1"/>
  <c r="B4" i="1" s="1"/>
  <c r="B7" i="1" s="1"/>
  <c r="B8" i="1" s="1"/>
  <c r="W32" i="2" l="1"/>
  <c r="U17" i="2"/>
  <c r="Y34" i="2"/>
  <c r="V6" i="2"/>
  <c r="V7" i="2"/>
  <c r="V10" i="2" s="1"/>
  <c r="V36" i="2" s="1"/>
  <c r="V27" i="2"/>
  <c r="W4" i="2"/>
  <c r="W12" i="2" s="1"/>
  <c r="W38" i="2" s="1"/>
  <c r="W11" i="2"/>
  <c r="W37" i="2" s="1"/>
  <c r="J30" i="2"/>
  <c r="V12" i="2"/>
  <c r="V38" i="2" s="1"/>
  <c r="Y8" i="2"/>
  <c r="W28" i="2"/>
  <c r="R30" i="2"/>
  <c r="W10" i="2"/>
  <c r="W36" i="2" s="1"/>
  <c r="P18" i="2"/>
  <c r="P39" i="2"/>
  <c r="G30" i="2"/>
  <c r="S30" i="2"/>
  <c r="H30" i="2"/>
  <c r="I30" i="2"/>
  <c r="F30" i="2"/>
  <c r="W27" i="2"/>
  <c r="X7" i="2"/>
  <c r="U30" i="2"/>
  <c r="L30" i="2"/>
  <c r="K30" i="2"/>
  <c r="M30" i="2"/>
  <c r="T30" i="2"/>
  <c r="U13" i="2"/>
  <c r="R13" i="2"/>
  <c r="Q13" i="2"/>
  <c r="S13" i="2"/>
  <c r="T13" i="2"/>
  <c r="B13" i="2"/>
  <c r="M13" i="2"/>
  <c r="I13" i="2"/>
  <c r="H13" i="2"/>
  <c r="N13" i="2"/>
  <c r="F13" i="2"/>
  <c r="J13" i="2"/>
  <c r="G13" i="2"/>
  <c r="K13" i="2"/>
  <c r="E13" i="2"/>
  <c r="C13" i="2"/>
  <c r="D13" i="2"/>
  <c r="N30" i="2"/>
  <c r="L13" i="2"/>
  <c r="X4" i="2" l="1"/>
  <c r="X29" i="2" s="1"/>
  <c r="W29" i="2"/>
  <c r="W6" i="2"/>
  <c r="W15" i="2" s="1"/>
  <c r="X32" i="2"/>
  <c r="X28" i="2"/>
  <c r="V30" i="2"/>
  <c r="V15" i="2"/>
  <c r="W33" i="2" s="1"/>
  <c r="W17" i="2"/>
  <c r="Z34" i="2"/>
  <c r="X8" i="2"/>
  <c r="X11" i="2" s="1"/>
  <c r="X37" i="2" s="1"/>
  <c r="V13" i="2"/>
  <c r="V39" i="2" s="1"/>
  <c r="W13" i="2"/>
  <c r="Q18" i="2"/>
  <c r="Q39" i="2"/>
  <c r="R18" i="2"/>
  <c r="R39" i="2"/>
  <c r="B18" i="2"/>
  <c r="B39" i="2"/>
  <c r="F18" i="2"/>
  <c r="F39" i="2"/>
  <c r="P21" i="2"/>
  <c r="P23" i="2" s="1"/>
  <c r="P25" i="2" s="1"/>
  <c r="P40" i="2"/>
  <c r="U18" i="2"/>
  <c r="U39" i="2"/>
  <c r="X27" i="2"/>
  <c r="Y7" i="2"/>
  <c r="X10" i="2"/>
  <c r="Y28" i="2"/>
  <c r="Z8" i="2"/>
  <c r="Y11" i="2"/>
  <c r="Y37" i="2" s="1"/>
  <c r="D18" i="2"/>
  <c r="D39" i="2"/>
  <c r="C18" i="2"/>
  <c r="C39" i="2"/>
  <c r="E18" i="2"/>
  <c r="E39" i="2"/>
  <c r="H18" i="2"/>
  <c r="H39" i="2"/>
  <c r="I18" i="2"/>
  <c r="I39" i="2"/>
  <c r="L18" i="2"/>
  <c r="L39" i="2"/>
  <c r="M18" i="2"/>
  <c r="M39" i="2"/>
  <c r="G18" i="2"/>
  <c r="G39" i="2"/>
  <c r="K18" i="2"/>
  <c r="K39" i="2"/>
  <c r="T18" i="2"/>
  <c r="T39" i="2"/>
  <c r="N18" i="2"/>
  <c r="N21" i="2" s="1"/>
  <c r="N23" i="2" s="1"/>
  <c r="N39" i="2"/>
  <c r="S18" i="2"/>
  <c r="S39" i="2"/>
  <c r="J18" i="2"/>
  <c r="J21" i="2" s="1"/>
  <c r="J23" i="2" s="1"/>
  <c r="J39" i="2"/>
  <c r="X12" i="2" l="1"/>
  <c r="X38" i="2" s="1"/>
  <c r="Y4" i="2"/>
  <c r="Z4" i="2" s="1"/>
  <c r="X6" i="2"/>
  <c r="W30" i="2"/>
  <c r="Z32" i="2"/>
  <c r="Y32" i="2"/>
  <c r="X30" i="2"/>
  <c r="X15" i="2"/>
  <c r="W18" i="2"/>
  <c r="W40" i="2" s="1"/>
  <c r="V33" i="2"/>
  <c r="V17" i="2"/>
  <c r="V18" i="2" s="1"/>
  <c r="V40" i="2" s="1"/>
  <c r="W39" i="2"/>
  <c r="B21" i="2"/>
  <c r="B23" i="2" s="1"/>
  <c r="B40" i="2"/>
  <c r="F21" i="2"/>
  <c r="F23" i="2" s="1"/>
  <c r="F40" i="2"/>
  <c r="R21" i="2"/>
  <c r="R23" i="2" s="1"/>
  <c r="R25" i="2" s="1"/>
  <c r="R40" i="2"/>
  <c r="Q21" i="2"/>
  <c r="Q23" i="2" s="1"/>
  <c r="Q25" i="2" s="1"/>
  <c r="Q40" i="2"/>
  <c r="U21" i="2"/>
  <c r="U23" i="2" s="1"/>
  <c r="U92" i="2" s="1"/>
  <c r="U40" i="2"/>
  <c r="X36" i="2"/>
  <c r="Z28" i="2"/>
  <c r="Z11" i="2"/>
  <c r="Z37" i="2" s="1"/>
  <c r="Y27" i="2"/>
  <c r="Z7" i="2"/>
  <c r="Y10" i="2"/>
  <c r="D21" i="2"/>
  <c r="D23" i="2" s="1"/>
  <c r="D40" i="2"/>
  <c r="C21" i="2"/>
  <c r="C23" i="2" s="1"/>
  <c r="C40" i="2"/>
  <c r="E21" i="2"/>
  <c r="E23" i="2" s="1"/>
  <c r="E40" i="2"/>
  <c r="M21" i="2"/>
  <c r="M23" i="2" s="1"/>
  <c r="M40" i="2"/>
  <c r="I21" i="2"/>
  <c r="I23" i="2" s="1"/>
  <c r="I40" i="2"/>
  <c r="L21" i="2"/>
  <c r="L23" i="2" s="1"/>
  <c r="L40" i="2"/>
  <c r="H21" i="2"/>
  <c r="H23" i="2" s="1"/>
  <c r="H40" i="2"/>
  <c r="G21" i="2"/>
  <c r="G23" i="2" s="1"/>
  <c r="G40" i="2"/>
  <c r="K21" i="2"/>
  <c r="K23" i="2" s="1"/>
  <c r="K40" i="2"/>
  <c r="N40" i="2"/>
  <c r="T21" i="2"/>
  <c r="T23" i="2" s="1"/>
  <c r="T40" i="2"/>
  <c r="S21" i="2"/>
  <c r="S23" i="2" s="1"/>
  <c r="S40" i="2"/>
  <c r="J40" i="2"/>
  <c r="N46" i="2"/>
  <c r="N64" i="2" s="1"/>
  <c r="N25" i="2"/>
  <c r="J46" i="2"/>
  <c r="J64" i="2" s="1"/>
  <c r="J25" i="2"/>
  <c r="X13" i="2" l="1"/>
  <c r="X39" i="2" s="1"/>
  <c r="Y6" i="2"/>
  <c r="Y30" i="2" s="1"/>
  <c r="Y12" i="2"/>
  <c r="Y38" i="2" s="1"/>
  <c r="Y29" i="2"/>
  <c r="X33" i="2"/>
  <c r="X17" i="2"/>
  <c r="V20" i="2"/>
  <c r="V21" i="2" s="1"/>
  <c r="U25" i="2"/>
  <c r="F46" i="2"/>
  <c r="F64" i="2" s="1"/>
  <c r="F80" i="2" s="1"/>
  <c r="F25" i="2"/>
  <c r="B46" i="2"/>
  <c r="B64" i="2" s="1"/>
  <c r="B80" i="2" s="1"/>
  <c r="B25" i="2"/>
  <c r="Y36" i="2"/>
  <c r="Z27" i="2"/>
  <c r="Z10" i="2"/>
  <c r="Z6" i="2"/>
  <c r="Z29" i="2"/>
  <c r="Z12" i="2"/>
  <c r="Z38" i="2" s="1"/>
  <c r="D46" i="2"/>
  <c r="D64" i="2" s="1"/>
  <c r="D80" i="2" s="1"/>
  <c r="D25" i="2"/>
  <c r="C46" i="2"/>
  <c r="C64" i="2" s="1"/>
  <c r="C80" i="2" s="1"/>
  <c r="C25" i="2"/>
  <c r="E46" i="2"/>
  <c r="E64" i="2" s="1"/>
  <c r="E80" i="2" s="1"/>
  <c r="E25" i="2"/>
  <c r="L46" i="2"/>
  <c r="L64" i="2" s="1"/>
  <c r="L80" i="2" s="1"/>
  <c r="L25" i="2"/>
  <c r="I25" i="2"/>
  <c r="I46" i="2"/>
  <c r="I64" i="2" s="1"/>
  <c r="I80" i="2" s="1"/>
  <c r="H46" i="2"/>
  <c r="H64" i="2" s="1"/>
  <c r="H80" i="2" s="1"/>
  <c r="H25" i="2"/>
  <c r="G46" i="2"/>
  <c r="G64" i="2" s="1"/>
  <c r="G80" i="2" s="1"/>
  <c r="G25" i="2"/>
  <c r="M46" i="2"/>
  <c r="M64" i="2" s="1"/>
  <c r="M80" i="2" s="1"/>
  <c r="M25" i="2"/>
  <c r="K46" i="2"/>
  <c r="K64" i="2" s="1"/>
  <c r="K80" i="2" s="1"/>
  <c r="K25" i="2"/>
  <c r="N80" i="2"/>
  <c r="N42" i="2"/>
  <c r="N43" i="2" s="1"/>
  <c r="J80" i="2"/>
  <c r="S25" i="2"/>
  <c r="S46" i="2"/>
  <c r="T25" i="2"/>
  <c r="T46" i="2"/>
  <c r="T64" i="2" s="1"/>
  <c r="X18" i="2" l="1"/>
  <c r="X40" i="2" s="1"/>
  <c r="Y13" i="2"/>
  <c r="Y39" i="2" s="1"/>
  <c r="Y15" i="2"/>
  <c r="Y33" i="2" s="1"/>
  <c r="Z30" i="2"/>
  <c r="Z15" i="2"/>
  <c r="V23" i="2"/>
  <c r="V92" i="2" s="1"/>
  <c r="Z13" i="2"/>
  <c r="Z36" i="2"/>
  <c r="T80" i="2"/>
  <c r="T42" i="2"/>
  <c r="Y17" i="2" l="1"/>
  <c r="Y18" i="2" s="1"/>
  <c r="Y40" i="2" s="1"/>
  <c r="Z33" i="2"/>
  <c r="Z17" i="2"/>
  <c r="Z18" i="2" s="1"/>
  <c r="W20" i="2"/>
  <c r="W21" i="2" s="1"/>
  <c r="V25" i="2"/>
  <c r="Z39" i="2"/>
  <c r="W23" i="2" l="1"/>
  <c r="W92" i="2" s="1"/>
  <c r="Z40" i="2"/>
  <c r="X20" i="2" l="1"/>
  <c r="W25" i="2"/>
  <c r="X21" i="2" l="1"/>
  <c r="X23" i="2" l="1"/>
  <c r="X92" i="2" s="1"/>
  <c r="Y20" i="2" l="1"/>
  <c r="X25" i="2"/>
  <c r="Y21" i="2" l="1"/>
  <c r="Y23" i="2" l="1"/>
  <c r="Y92" i="2" s="1"/>
  <c r="Z20" i="2" l="1"/>
  <c r="Y25" i="2"/>
  <c r="Z21" i="2" l="1"/>
  <c r="Z23" i="2" l="1"/>
  <c r="AA23" i="2" l="1"/>
  <c r="AB23" i="2" s="1"/>
  <c r="AC23" i="2" s="1"/>
  <c r="AD23" i="2" s="1"/>
  <c r="AE23" i="2" s="1"/>
  <c r="AF23" i="2" s="1"/>
  <c r="AG23" i="2" s="1"/>
  <c r="AH23" i="2" s="1"/>
  <c r="AI23" i="2" s="1"/>
  <c r="AJ23" i="2" s="1"/>
  <c r="AK23" i="2" s="1"/>
  <c r="AL23" i="2" s="1"/>
  <c r="AM23" i="2" s="1"/>
  <c r="AN23" i="2" s="1"/>
  <c r="AO23" i="2" s="1"/>
  <c r="AP23" i="2" s="1"/>
  <c r="AQ23" i="2" s="1"/>
  <c r="AR23" i="2" s="1"/>
  <c r="AS23" i="2" s="1"/>
  <c r="AT23" i="2" s="1"/>
  <c r="AU23" i="2" s="1"/>
  <c r="AV23" i="2" s="1"/>
  <c r="AW23" i="2" s="1"/>
  <c r="AX23" i="2" s="1"/>
  <c r="AY23" i="2" s="1"/>
  <c r="AZ23" i="2" s="1"/>
  <c r="BA23" i="2" s="1"/>
  <c r="BB23" i="2" s="1"/>
  <c r="BC23" i="2" s="1"/>
  <c r="BD23" i="2" s="1"/>
  <c r="BE23" i="2" s="1"/>
  <c r="BF23" i="2" s="1"/>
  <c r="BG23" i="2" s="1"/>
  <c r="BH23" i="2" s="1"/>
  <c r="BI23" i="2" s="1"/>
  <c r="BJ23" i="2" s="1"/>
  <c r="BK23" i="2" s="1"/>
  <c r="BL23" i="2" s="1"/>
  <c r="BM23" i="2" s="1"/>
  <c r="BN23" i="2" s="1"/>
  <c r="BO23" i="2" s="1"/>
  <c r="BP23" i="2" s="1"/>
  <c r="BQ23" i="2" s="1"/>
  <c r="BR23" i="2" s="1"/>
  <c r="BS23" i="2" s="1"/>
  <c r="BT23" i="2" s="1"/>
  <c r="BU23" i="2" s="1"/>
  <c r="BV23" i="2" s="1"/>
  <c r="BW23" i="2" s="1"/>
  <c r="BX23" i="2" s="1"/>
  <c r="BY23" i="2" s="1"/>
  <c r="BZ23" i="2" s="1"/>
  <c r="CA23" i="2" s="1"/>
  <c r="CB23" i="2" s="1"/>
  <c r="CC23" i="2" s="1"/>
  <c r="CD23" i="2" s="1"/>
  <c r="CE23" i="2" s="1"/>
  <c r="CF23" i="2" s="1"/>
  <c r="CG23" i="2" s="1"/>
  <c r="CH23" i="2" s="1"/>
  <c r="CI23" i="2" s="1"/>
  <c r="CJ23" i="2" s="1"/>
  <c r="AC5" i="2" s="1"/>
  <c r="AC7" i="2" s="1"/>
  <c r="AC8" i="2" s="1"/>
  <c r="Z92" i="2"/>
  <c r="Z25"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<sst xmlns="http://schemas.openxmlformats.org/spreadsheetml/2006/main" count="137" uniqueCount="126">
  <si>
    <t>ticket</t>
  </si>
  <si>
    <t>price</t>
  </si>
  <si>
    <t>shares</t>
  </si>
  <si>
    <t>mc</t>
  </si>
  <si>
    <t>cash</t>
  </si>
  <si>
    <t>debt</t>
  </si>
  <si>
    <t>ev</t>
  </si>
  <si>
    <t>Licenses</t>
  </si>
  <si>
    <t>Subscription services</t>
  </si>
  <si>
    <t>Professional Services</t>
  </si>
  <si>
    <t>Q1 2022</t>
  </si>
  <si>
    <t>Q2 2022</t>
  </si>
  <si>
    <t>Q3 2022</t>
  </si>
  <si>
    <t>Q4 2022</t>
  </si>
  <si>
    <t>Q1 2023</t>
  </si>
  <si>
    <t>Q2 2023</t>
  </si>
  <si>
    <t>Q3 2023</t>
  </si>
  <si>
    <t>Q4 2023</t>
  </si>
  <si>
    <t>Q1 2024</t>
  </si>
  <si>
    <t>Q2 2024</t>
  </si>
  <si>
    <t>Q3 2024</t>
  </si>
  <si>
    <t>Q4 2024</t>
  </si>
  <si>
    <t>Q1 2025</t>
  </si>
  <si>
    <t>Revenue</t>
  </si>
  <si>
    <t>COGS licenses</t>
  </si>
  <si>
    <t>COGS subs</t>
  </si>
  <si>
    <t>Gross Profit licenses</t>
  </si>
  <si>
    <t>Gross Profit subs</t>
  </si>
  <si>
    <t>Gross Profit pro services</t>
  </si>
  <si>
    <t>COGS pro services</t>
  </si>
  <si>
    <t>Total Gross Profit</t>
  </si>
  <si>
    <t>S&amp;M</t>
  </si>
  <si>
    <t>R&amp;D</t>
  </si>
  <si>
    <t>G&amp;A</t>
  </si>
  <si>
    <t>Total Opex</t>
  </si>
  <si>
    <t>Operating Income</t>
  </si>
  <si>
    <t>Interest income</t>
  </si>
  <si>
    <t>Other income</t>
  </si>
  <si>
    <t>Pretax Income</t>
  </si>
  <si>
    <t>Taxes</t>
  </si>
  <si>
    <t>Net Income</t>
  </si>
  <si>
    <t>Shares</t>
  </si>
  <si>
    <t>EPS</t>
  </si>
  <si>
    <t>Licenses y/y</t>
  </si>
  <si>
    <t>Subscription services y/y</t>
  </si>
  <si>
    <t>Professional Services y/y</t>
  </si>
  <si>
    <t>Revenue y/y</t>
  </si>
  <si>
    <t>D&amp;A</t>
  </si>
  <si>
    <t>deferred contract acquisition cost</t>
  </si>
  <si>
    <t>Amortization of MS</t>
  </si>
  <si>
    <t>SBC</t>
  </si>
  <si>
    <t>Charitable donation</t>
  </si>
  <si>
    <t>Noncash operating lease expenses</t>
  </si>
  <si>
    <t>Provision for income taxes</t>
  </si>
  <si>
    <t>other non cash charges</t>
  </si>
  <si>
    <t>AR</t>
  </si>
  <si>
    <t>contract assets</t>
  </si>
  <si>
    <t>Prepaid expenses</t>
  </si>
  <si>
    <t>Accrued compensation</t>
  </si>
  <si>
    <t>operating lease liabilities</t>
  </si>
  <si>
    <t>Deferred revenue</t>
  </si>
  <si>
    <t>CFFO</t>
  </si>
  <si>
    <t>Purchase of MS</t>
  </si>
  <si>
    <t>Maturities of MS</t>
  </si>
  <si>
    <t>Purchases of PPE</t>
  </si>
  <si>
    <t>Other investing</t>
  </si>
  <si>
    <t>CFFI</t>
  </si>
  <si>
    <t>Repurchases of common stock</t>
  </si>
  <si>
    <t>Proceeds from stock options</t>
  </si>
  <si>
    <t>payments of tax withholdings</t>
  </si>
  <si>
    <t>Proceeds from employee stock purchase plan</t>
  </si>
  <si>
    <t>CFFF</t>
  </si>
  <si>
    <t>FX</t>
  </si>
  <si>
    <t>Net change in cash</t>
  </si>
  <si>
    <t>AP</t>
  </si>
  <si>
    <t>accrued expenses</t>
  </si>
  <si>
    <t>Founded</t>
  </si>
  <si>
    <t>Founder</t>
  </si>
  <si>
    <t>CEO</t>
  </si>
  <si>
    <t>HQ</t>
  </si>
  <si>
    <t>NY, US</t>
  </si>
  <si>
    <t>Licenses Gross Margin</t>
  </si>
  <si>
    <t>Subscription Gross Margin</t>
  </si>
  <si>
    <t>Pro Services Gross Margin</t>
  </si>
  <si>
    <t>Operating Margin</t>
  </si>
  <si>
    <t>UiPath is a leading Robotic Process Automation (RPA) platform designed to automate repetitive tasks in business processes</t>
  </si>
  <si>
    <t>ARR</t>
  </si>
  <si>
    <t xml:space="preserve">$1M+ Costumers </t>
  </si>
  <si>
    <t>$100K+ Costumers</t>
  </si>
  <si>
    <t>Dollar net retention rate</t>
  </si>
  <si>
    <t>y/y</t>
  </si>
  <si>
    <t>Total Gross Margin</t>
  </si>
  <si>
    <t>Payment of envested stock option</t>
  </si>
  <si>
    <t>employees</t>
  </si>
  <si>
    <t>FCF</t>
  </si>
  <si>
    <t>restricted cash</t>
  </si>
  <si>
    <t>MS</t>
  </si>
  <si>
    <t>Contract assets</t>
  </si>
  <si>
    <t>Deferred contract aquisitions</t>
  </si>
  <si>
    <t>MS non current</t>
  </si>
  <si>
    <t>Deferred contract aquisitions NC</t>
  </si>
  <si>
    <t>PPE</t>
  </si>
  <si>
    <t>Operating lease liabilities</t>
  </si>
  <si>
    <t>Intangibles</t>
  </si>
  <si>
    <t>Goodwill</t>
  </si>
  <si>
    <t>Deferred taxes</t>
  </si>
  <si>
    <t>Other NCA</t>
  </si>
  <si>
    <t>Total Assets</t>
  </si>
  <si>
    <t>Accrued expenses</t>
  </si>
  <si>
    <t>Deferred revenue NC</t>
  </si>
  <si>
    <t>Operating lease liabilities NC</t>
  </si>
  <si>
    <t>Other liabilities</t>
  </si>
  <si>
    <t>Total Liabilities</t>
  </si>
  <si>
    <t>net cash</t>
  </si>
  <si>
    <t>TTM FCF</t>
  </si>
  <si>
    <t>S&amp;M y/y</t>
  </si>
  <si>
    <t>R&amp;D y/y</t>
  </si>
  <si>
    <t>G&amp;A y/y</t>
  </si>
  <si>
    <t>Discount</t>
  </si>
  <si>
    <t>Maturity</t>
  </si>
  <si>
    <t>ROIC</t>
  </si>
  <si>
    <t>NPV</t>
  </si>
  <si>
    <t>Net Cash</t>
  </si>
  <si>
    <t>Price</t>
  </si>
  <si>
    <t>MKT price</t>
  </si>
  <si>
    <t>EV/FCF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</si>
</sst>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_-[$$-409]* #,##0.00_ ;_-[$$-409]* \-#,##0.00\ ;_-[$$-409]* &quot;-&quot;??_ ;_-@_ "/>
    <numFmt numFmtId="166" formatCode="#,##0_ ;\-#,##0\ "/>
    <numFmt numFmtId="167" formatCode="_([$$-409]* #,##0.00_);_([$$-409]* \(#,##0.00\);_([$$-409]* &quot;-&quot;??_);_(@_)"/>
    <numFmt numFmtId="170" formatCode="0.0\x"/>
  </numFmts>
  <fonts count="3" x14ac:knownFonts="1">
    <font>
      <sz val="11"/>
      <color theme="1"/>
      <name val="Aptos Narrow"/>
      <family val="2"/>
      <scheme val="minor"/>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3" fontId="1" fillId="0" borderId="0" xfId="0" applyNumberFormat="1" applyFont="1"/>
    <xf numFmtId="0" fontId="2" fillId="0" borderId="0" xfId="0" applyFont="1"/>
    <xf numFmtId="3" fontId="2" fillId="0" borderId="0" xfId="0" applyNumberFormat="1" applyFont="1"/>
    <xf numFmtId="9" fontId="1" fillId="0" borderId="0" xfId="0" applyNumberFormat="1" applyFont="1"/>
    <xf numFmtId="164" fontId="1" fillId="0" borderId="0" xfId="0" applyNumberFormat="1" applyFont="1"/>
    <xf numFmtId="165" fontId="1" fillId="0" borderId="0" xfId="0" applyNumberFormat="1" applyFont="1"/>
    <xf numFmtId="0" fontId="1" fillId="0" borderId="0" xfId="0" applyFont="1" applyAlignment="1">
      <alignment horizontal="right"/>
    </xf>
    <xf numFmtId="0" fontId="1" fillId="0" borderId="0" xfId="0" applyFont="1" applyAlignment="1">
      <alignment horizontal="left"/>
    </xf>
    <xf numFmtId="3" fontId="1" fillId="0" borderId="0" xfId="0" applyNumberFormat="1" applyFont="1" applyAlignment="1">
      <alignment horizontal="right"/>
    </xf>
    <xf numFmtId="166" fontId="1" fillId="0" borderId="0" xfId="0" applyNumberFormat="1" applyFont="1"/>
    <xf numFmtId="167" fontId="1" fillId="0" borderId="0" xfId="0" applyNumberFormat="1" applyFont="1" applyAlignment="1">
      <alignment horizontal="right"/>
    </xf>
    <xf numFmtId="170"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Revenue</a:t>
            </a:r>
            <a:r>
              <a:rPr lang="en-GB" b="1" baseline="0"/>
              <a:t> Breakdown</a:t>
            </a:r>
            <a:endParaRPr lang="en-GB"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model!$A$2</c:f>
              <c:strCache>
                <c:ptCount val="1"/>
                <c:pt idx="0">
                  <c:v>Licenses</c:v>
                </c:pt>
              </c:strCache>
            </c:strRef>
          </c:tx>
          <c:spPr>
            <a:solidFill>
              <a:schemeClr val="accent1"/>
            </a:solidFill>
            <a:ln>
              <a:noFill/>
            </a:ln>
            <a:effectLst/>
          </c:spPr>
          <c:invertIfNegative val="0"/>
          <c:cat>
            <c:strRef>
              <c:f>model!$B$1:$N$1</c:f>
              <c:strCache>
                <c:ptCount val="13"/>
                <c:pt idx="0">
                  <c:v>Q1 2022</c:v>
                </c:pt>
                <c:pt idx="1">
                  <c:v>Q2 2022</c:v>
                </c:pt>
                <c:pt idx="2">
                  <c:v>Q3 2022</c:v>
                </c:pt>
                <c:pt idx="3">
                  <c:v>Q4 2022</c:v>
                </c:pt>
                <c:pt idx="4">
                  <c:v>Q1 2023</c:v>
                </c:pt>
                <c:pt idx="5">
                  <c:v>Q2 2023</c:v>
                </c:pt>
                <c:pt idx="6">
                  <c:v>Q3 2023</c:v>
                </c:pt>
                <c:pt idx="7">
                  <c:v>Q4 2023</c:v>
                </c:pt>
                <c:pt idx="8">
                  <c:v>Q1 2024</c:v>
                </c:pt>
                <c:pt idx="9">
                  <c:v>Q2 2024</c:v>
                </c:pt>
                <c:pt idx="10">
                  <c:v>Q3 2024</c:v>
                </c:pt>
                <c:pt idx="11">
                  <c:v>Q4 2024</c:v>
                </c:pt>
                <c:pt idx="12">
                  <c:v>Q1 2025</c:v>
                </c:pt>
              </c:strCache>
            </c:strRef>
          </c:cat>
          <c:val>
            <c:numRef>
              <c:f>model!$B$2:$N$2</c:f>
              <c:numCache>
                <c:formatCode>#,##0</c:formatCode>
                <c:ptCount val="13"/>
                <c:pt idx="0">
                  <c:v>100.21599999999999</c:v>
                </c:pt>
                <c:pt idx="1">
                  <c:v>95.546999999999997</c:v>
                </c:pt>
                <c:pt idx="2">
                  <c:v>111.608</c:v>
                </c:pt>
                <c:pt idx="3">
                  <c:v>174.05600000000001</c:v>
                </c:pt>
                <c:pt idx="4">
                  <c:v>117.004</c:v>
                </c:pt>
                <c:pt idx="5">
                  <c:v>103.696</c:v>
                </c:pt>
                <c:pt idx="6">
                  <c:v>118.175</c:v>
                </c:pt>
                <c:pt idx="7">
                  <c:v>158.96100000000001</c:v>
                </c:pt>
                <c:pt idx="8">
                  <c:v>134.03899999999999</c:v>
                </c:pt>
                <c:pt idx="9">
                  <c:v>119.3</c:v>
                </c:pt>
                <c:pt idx="10">
                  <c:v>148.06800000000001</c:v>
                </c:pt>
                <c:pt idx="11">
                  <c:v>219.98500000000001</c:v>
                </c:pt>
                <c:pt idx="12">
                  <c:v>140.12799999999999</c:v>
                </c:pt>
              </c:numCache>
            </c:numRef>
          </c:val>
          <c:extLst>
            <c:ext xmlns:c16="http://schemas.microsoft.com/office/drawing/2014/chart" uri="{C3380CC4-5D6E-409C-BE32-E72D297353CC}">
              <c16:uniqueId val="{00000000-6380-4D74-B3F2-2BC051506F5A}"/>
            </c:ext>
          </c:extLst>
        </c:ser>
        <c:ser>
          <c:idx val="1"/>
          <c:order val="1"/>
          <c:tx>
            <c:strRef>
              <c:f>model!$A$3</c:f>
              <c:strCache>
                <c:ptCount val="1"/>
                <c:pt idx="0">
                  <c:v>Subscription services</c:v>
                </c:pt>
              </c:strCache>
            </c:strRef>
          </c:tx>
          <c:spPr>
            <a:solidFill>
              <a:schemeClr val="accent2"/>
            </a:solidFill>
            <a:ln>
              <a:noFill/>
            </a:ln>
            <a:effectLst/>
          </c:spPr>
          <c:invertIfNegative val="0"/>
          <c:cat>
            <c:strRef>
              <c:f>model!$B$1:$N$1</c:f>
              <c:strCache>
                <c:ptCount val="13"/>
                <c:pt idx="0">
                  <c:v>Q1 2022</c:v>
                </c:pt>
                <c:pt idx="1">
                  <c:v>Q2 2022</c:v>
                </c:pt>
                <c:pt idx="2">
                  <c:v>Q3 2022</c:v>
                </c:pt>
                <c:pt idx="3">
                  <c:v>Q4 2022</c:v>
                </c:pt>
                <c:pt idx="4">
                  <c:v>Q1 2023</c:v>
                </c:pt>
                <c:pt idx="5">
                  <c:v>Q2 2023</c:v>
                </c:pt>
                <c:pt idx="6">
                  <c:v>Q3 2023</c:v>
                </c:pt>
                <c:pt idx="7">
                  <c:v>Q4 2023</c:v>
                </c:pt>
                <c:pt idx="8">
                  <c:v>Q1 2024</c:v>
                </c:pt>
                <c:pt idx="9">
                  <c:v>Q2 2024</c:v>
                </c:pt>
                <c:pt idx="10">
                  <c:v>Q3 2024</c:v>
                </c:pt>
                <c:pt idx="11">
                  <c:v>Q4 2024</c:v>
                </c:pt>
                <c:pt idx="12">
                  <c:v>Q1 2025</c:v>
                </c:pt>
              </c:strCache>
            </c:strRef>
          </c:cat>
          <c:val>
            <c:numRef>
              <c:f>model!$B$3:$N$3</c:f>
              <c:numCache>
                <c:formatCode>#,##0</c:formatCode>
                <c:ptCount val="13"/>
                <c:pt idx="0">
                  <c:v>77.641999999999996</c:v>
                </c:pt>
                <c:pt idx="1">
                  <c:v>90.319000000000003</c:v>
                </c:pt>
                <c:pt idx="2">
                  <c:v>97.962999999999994</c:v>
                </c:pt>
                <c:pt idx="3">
                  <c:v>103.943</c:v>
                </c:pt>
                <c:pt idx="4">
                  <c:v>115.494</c:v>
                </c:pt>
                <c:pt idx="5">
                  <c:v>124.65600000000001</c:v>
                </c:pt>
                <c:pt idx="6">
                  <c:v>130.15899999999999</c:v>
                </c:pt>
                <c:pt idx="7">
                  <c:v>138.51400000000001</c:v>
                </c:pt>
                <c:pt idx="8">
                  <c:v>146.352</c:v>
                </c:pt>
                <c:pt idx="9">
                  <c:v>159.999</c:v>
                </c:pt>
                <c:pt idx="10">
                  <c:v>167.529</c:v>
                </c:pt>
                <c:pt idx="11">
                  <c:v>176.03800000000001</c:v>
                </c:pt>
                <c:pt idx="12">
                  <c:v>185.131</c:v>
                </c:pt>
              </c:numCache>
            </c:numRef>
          </c:val>
          <c:extLst>
            <c:ext xmlns:c16="http://schemas.microsoft.com/office/drawing/2014/chart" uri="{C3380CC4-5D6E-409C-BE32-E72D297353CC}">
              <c16:uniqueId val="{00000001-6380-4D74-B3F2-2BC051506F5A}"/>
            </c:ext>
          </c:extLst>
        </c:ser>
        <c:ser>
          <c:idx val="2"/>
          <c:order val="2"/>
          <c:tx>
            <c:strRef>
              <c:f>model!$A$4</c:f>
              <c:strCache>
                <c:ptCount val="1"/>
                <c:pt idx="0">
                  <c:v>Professional Services</c:v>
                </c:pt>
              </c:strCache>
            </c:strRef>
          </c:tx>
          <c:spPr>
            <a:solidFill>
              <a:schemeClr val="accent3"/>
            </a:solidFill>
            <a:ln>
              <a:noFill/>
            </a:ln>
            <a:effectLst/>
          </c:spPr>
          <c:invertIfNegative val="0"/>
          <c:cat>
            <c:strRef>
              <c:f>model!$B$1:$N$1</c:f>
              <c:strCache>
                <c:ptCount val="13"/>
                <c:pt idx="0">
                  <c:v>Q1 2022</c:v>
                </c:pt>
                <c:pt idx="1">
                  <c:v>Q2 2022</c:v>
                </c:pt>
                <c:pt idx="2">
                  <c:v>Q3 2022</c:v>
                </c:pt>
                <c:pt idx="3">
                  <c:v>Q4 2022</c:v>
                </c:pt>
                <c:pt idx="4">
                  <c:v>Q1 2023</c:v>
                </c:pt>
                <c:pt idx="5">
                  <c:v>Q2 2023</c:v>
                </c:pt>
                <c:pt idx="6">
                  <c:v>Q3 2023</c:v>
                </c:pt>
                <c:pt idx="7">
                  <c:v>Q4 2023</c:v>
                </c:pt>
                <c:pt idx="8">
                  <c:v>Q1 2024</c:v>
                </c:pt>
                <c:pt idx="9">
                  <c:v>Q2 2024</c:v>
                </c:pt>
                <c:pt idx="10">
                  <c:v>Q3 2024</c:v>
                </c:pt>
                <c:pt idx="11">
                  <c:v>Q4 2024</c:v>
                </c:pt>
                <c:pt idx="12">
                  <c:v>Q1 2025</c:v>
                </c:pt>
              </c:strCache>
            </c:strRef>
          </c:cat>
          <c:val>
            <c:numRef>
              <c:f>model!$B$4:$N$4</c:f>
              <c:numCache>
                <c:formatCode>#,##0</c:formatCode>
                <c:ptCount val="13"/>
                <c:pt idx="0">
                  <c:v>8.359</c:v>
                </c:pt>
                <c:pt idx="1">
                  <c:v>9.6549999999999994</c:v>
                </c:pt>
                <c:pt idx="2">
                  <c:v>11.244999999999999</c:v>
                </c:pt>
                <c:pt idx="3">
                  <c:v>11.699</c:v>
                </c:pt>
                <c:pt idx="4">
                  <c:v>12.568</c:v>
                </c:pt>
                <c:pt idx="5">
                  <c:v>13.87</c:v>
                </c:pt>
                <c:pt idx="6">
                  <c:v>14.41</c:v>
                </c:pt>
                <c:pt idx="7">
                  <c:v>11.074</c:v>
                </c:pt>
                <c:pt idx="8">
                  <c:v>9.1969999999999992</c:v>
                </c:pt>
                <c:pt idx="9">
                  <c:v>8.0109999999999992</c:v>
                </c:pt>
                <c:pt idx="10">
                  <c:v>10.324</c:v>
                </c:pt>
                <c:pt idx="11">
                  <c:v>9.23</c:v>
                </c:pt>
                <c:pt idx="12">
                  <c:v>9.8529999999999998</c:v>
                </c:pt>
              </c:numCache>
            </c:numRef>
          </c:val>
          <c:extLst>
            <c:ext xmlns:c16="http://schemas.microsoft.com/office/drawing/2014/chart" uri="{C3380CC4-5D6E-409C-BE32-E72D297353CC}">
              <c16:uniqueId val="{00000002-6380-4D74-B3F2-2BC051506F5A}"/>
            </c:ext>
          </c:extLst>
        </c:ser>
        <c:dLbls>
          <c:showLegendKey val="0"/>
          <c:showVal val="0"/>
          <c:showCatName val="0"/>
          <c:showSerName val="0"/>
          <c:showPercent val="0"/>
          <c:showBubbleSize val="0"/>
        </c:dLbls>
        <c:gapWidth val="150"/>
        <c:overlap val="100"/>
        <c:axId val="759241631"/>
        <c:axId val="759258431"/>
      </c:barChart>
      <c:catAx>
        <c:axId val="759241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9258431"/>
        <c:crosses val="autoZero"/>
        <c:auto val="1"/>
        <c:lblAlgn val="ctr"/>
        <c:lblOffset val="100"/>
        <c:noMultiLvlLbl val="0"/>
      </c:catAx>
      <c:valAx>
        <c:axId val="75925843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92416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0</xdr:colOff>
      <xdr:row>0</xdr:row>
      <xdr:rowOff>9524</xdr:rowOff>
    </xdr:from>
    <xdr:to>
      <xdr:col>21</xdr:col>
      <xdr:colOff>361950</xdr:colOff>
      <xdr:row>23</xdr:row>
      <xdr:rowOff>152399</xdr:rowOff>
    </xdr:to>
    <xdr:graphicFrame macro="">
      <xdr:nvGraphicFramePr>
        <xdr:cNvPr id="2" name="Chart 1">
          <a:extLst>
            <a:ext uri="{FF2B5EF4-FFF2-40B4-BE49-F238E27FC236}">
              <a16:creationId xmlns:a16="http://schemas.microsoft.com/office/drawing/2014/main" id="{E7F237FE-78D9-4CE8-9C46-84DFF1D1BC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20</xdr:col>
      <xdr:colOff>0</xdr:colOff>
      <xdr:row>0</xdr:row>
      <xdr:rowOff>28575</xdr:rowOff>
    </xdr:from>
    <xdr:to>
      <xdr:col>20</xdr:col>
      <xdr:colOff>19050</xdr:colOff>
      <xdr:row>93</xdr:row>
      <xdr:rowOff>47625</xdr:rowOff>
    </xdr:to>
    <xdr:cxnSp macro="">
      <xdr:nvCxnSpPr>
        <xdr:cNvPr id="3" name="Straight Connector 2">
          <a:extLst>
            <a:ext uri="{FF2B5EF4-FFF2-40B4-BE49-F238E27FC236}">
              <a16:creationId xmlns:a16="http://schemas.microsoft.com/office/drawing/2014/main" id="{B6FE0499-F558-4F81-B1F0-B17430046DEC}"/>
            </a:ext>
          </a:extLst>
        </xdr:cNvPr>
        <xdr:cNvCxnSpPr/>
      </xdr:nvCxnSpPr>
      <xdr:spPr>
        <a:xfrm>
          <a:off x="14239875" y="28575"/>
          <a:ext cx="19050" cy="1362075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https://www.bing.com/financeapi/forcetrigger?t=c1dbvh&amp;q=XNYS%3aPATH&amp;form=skydnc</v>
    <v>Learn more on Bing</v>
  </rv>
  <rv s="1">
    <v>en-GB</v>
    <v>c1dbvh</v>
    <v>268435456</v>
    <v>1</v>
    <v>Powered by Refinitiv</v>
    <v>0</v>
    <v>UIPATH, INC. (XNYS:PATH)</v>
    <v>2</v>
    <v>3</v>
    <v>Finance</v>
    <v>4</v>
    <v>27.87</v>
    <v>10.37</v>
    <v>0.87029999999999996</v>
    <v>-0.38</v>
    <v>-3.0818999999999999E-2</v>
    <v>USD</v>
    <v>UiPath, Inc. is an enterprise automation and artificial intelligence (AI) software company. The Company is principally focused on building and managing automations and developing computer vision technology. The Company provides its customers with a set of capabilities that allow them to discover opportunities for automation, automate using a digital workforce that seamlessly collaborates with humans, and operate a mission-critical automation program at scale. It enables employees to build automations for both existing and new processes and to automate a range of actions including logging into applications, extracting information from documents, moving folders, filling in forms, reading emails, and updating information fields and databases. Its platform allows users to design and combine UI automations, API integrations, and AI-based document understanding in a single workflow. It offers a managed, multi-tenant software as a service (SaaS) version and automation cloud.</v>
    <v>4035</v>
    <v>New York Stock Exchange</v>
    <v>XNYS</v>
    <v>XNYS</v>
    <v>One Vanderbilt Avenue, 60th Floor, NEW YORK, NY, 10017 US</v>
    <v>12.24</v>
    <v>Software &amp; IT Services</v>
    <v>Stock</v>
    <v>45568.99856442109</v>
    <v>0</v>
    <v>11.89</v>
    <v>6571992125</v>
    <v>UIPATH, INC.</v>
    <v>UIPATH, INC.</v>
    <v>12.14</v>
    <v>12.33</v>
    <v>11.95</v>
    <v>549957500</v>
    <v>PATH</v>
    <v>UIPATH, INC. (XNYS:PATH)</v>
    <v>2682</v>
    <v>12029801</v>
    <v>2015</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AED9D-B002-4E44-8FDA-BEA35ABE189D}">
  <dimension ref="A1:E10"/>
  <sheetViews>
    <sheetView showGridLines="0" tabSelected="1" workbookViewId="0">
      <selection activeCell="B8" sqref="B8"/>
    </sheetView>
  </sheetViews>
  <sheetFormatPr defaultRowHeight="12.75" x14ac:dyDescent="0.2"/>
  <cols>
    <col min="1" max="16384" width="9.140625" style="1"/>
  </cols>
  <sheetData>
    <row r="1" spans="1:5" x14ac:dyDescent="0.2">
      <c r="A1" s="1" t="s">
        <v>0</v>
      </c>
      <c r="B1" s="8" t="e" vm="1">
        <v>#VALUE!</v>
      </c>
      <c r="D1" s="3" t="s">
        <v>76</v>
      </c>
      <c r="E1" s="9">
        <v>2005</v>
      </c>
    </row>
    <row r="2" spans="1:5" x14ac:dyDescent="0.2">
      <c r="A2" s="1" t="s">
        <v>1</v>
      </c>
      <c r="B2" s="12" cm="1">
        <f t="array" aca="1" ref="B2" ca="1">+_FV(B1,"Price")</f>
        <v>11.95</v>
      </c>
      <c r="D2" s="3" t="s">
        <v>77</v>
      </c>
      <c r="E2" s="9"/>
    </row>
    <row r="3" spans="1:5" x14ac:dyDescent="0.2">
      <c r="A3" s="1" t="s">
        <v>2</v>
      </c>
      <c r="B3" s="8">
        <f>490.324+82.452</f>
        <v>572.77600000000007</v>
      </c>
      <c r="D3" s="3" t="s">
        <v>78</v>
      </c>
      <c r="E3" s="9"/>
    </row>
    <row r="4" spans="1:5" x14ac:dyDescent="0.2">
      <c r="A4" s="1" t="s">
        <v>3</v>
      </c>
      <c r="B4" s="10">
        <f ca="1">+B2*B3</f>
        <v>6844.6732000000002</v>
      </c>
      <c r="D4" s="3" t="s">
        <v>79</v>
      </c>
      <c r="E4" s="9" t="s">
        <v>80</v>
      </c>
    </row>
    <row r="5" spans="1:5" x14ac:dyDescent="0.2">
      <c r="A5" s="1" t="s">
        <v>4</v>
      </c>
      <c r="B5" s="10">
        <f>1146.618+788.92+0.962</f>
        <v>1936.5</v>
      </c>
      <c r="D5" s="3"/>
      <c r="E5" s="9"/>
    </row>
    <row r="6" spans="1:5" x14ac:dyDescent="0.2">
      <c r="A6" s="1" t="s">
        <v>5</v>
      </c>
      <c r="B6" s="10">
        <v>0</v>
      </c>
      <c r="D6" s="3"/>
      <c r="E6" s="9"/>
    </row>
    <row r="7" spans="1:5" x14ac:dyDescent="0.2">
      <c r="A7" s="1" t="s">
        <v>6</v>
      </c>
      <c r="B7" s="10">
        <f ca="1">+B4-B5+B6</f>
        <v>4908.1732000000002</v>
      </c>
    </row>
    <row r="8" spans="1:5" x14ac:dyDescent="0.2">
      <c r="A8" s="1" t="s">
        <v>125</v>
      </c>
      <c r="B8" s="13">
        <f ca="1">+B7/325</f>
        <v>15.102071384615385</v>
      </c>
    </row>
    <row r="10" spans="1:5" x14ac:dyDescent="0.2">
      <c r="A10" s="1" t="s">
        <v>85</v>
      </c>
    </row>
  </sheetData>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546E6-25E2-4DB1-8DC8-7334CE994E5E}">
  <dimension ref="A1:CJ120"/>
  <sheetViews>
    <sheetView workbookViewId="0">
      <pane xSplit="1" ySplit="1" topLeftCell="B8" activePane="bottomRight" state="frozen"/>
      <selection pane="topRight" activeCell="B1" sqref="B1"/>
      <selection pane="bottomLeft" activeCell="A2" sqref="A2"/>
      <selection pane="bottomRight" activeCell="N43" sqref="N43"/>
    </sheetView>
  </sheetViews>
  <sheetFormatPr defaultRowHeight="12.75" x14ac:dyDescent="0.2"/>
  <cols>
    <col min="1" max="1" width="39.85546875" style="1" bestFit="1" customWidth="1"/>
    <col min="2" max="14" width="9.140625" style="2"/>
    <col min="15" max="15" width="9.140625" style="1"/>
    <col min="16" max="16" width="10" style="1" customWidth="1"/>
    <col min="17" max="17" width="8.7109375" style="1" bestFit="1" customWidth="1"/>
    <col min="18" max="19" width="9.7109375" style="1" bestFit="1" customWidth="1"/>
    <col min="20" max="28" width="9.140625" style="1"/>
    <col min="29" max="29" width="10.28515625" style="1" bestFit="1" customWidth="1"/>
    <col min="30" max="16384" width="9.140625" style="1"/>
  </cols>
  <sheetData>
    <row r="1" spans="1:29" x14ac:dyDescent="0.2">
      <c r="B1" s="3" t="s">
        <v>10</v>
      </c>
      <c r="C1" s="3" t="s">
        <v>11</v>
      </c>
      <c r="D1" s="3" t="s">
        <v>12</v>
      </c>
      <c r="E1" s="3" t="s">
        <v>13</v>
      </c>
      <c r="F1" s="3" t="s">
        <v>14</v>
      </c>
      <c r="G1" s="3" t="s">
        <v>15</v>
      </c>
      <c r="H1" s="3" t="s">
        <v>16</v>
      </c>
      <c r="I1" s="3" t="s">
        <v>17</v>
      </c>
      <c r="J1" s="3" t="s">
        <v>18</v>
      </c>
      <c r="K1" s="3" t="s">
        <v>19</v>
      </c>
      <c r="L1" s="3" t="s">
        <v>20</v>
      </c>
      <c r="M1" s="3" t="s">
        <v>21</v>
      </c>
      <c r="N1" s="3" t="s">
        <v>22</v>
      </c>
      <c r="P1" s="3">
        <v>2020</v>
      </c>
      <c r="Q1" s="3">
        <v>2021</v>
      </c>
      <c r="R1" s="3">
        <f>+Q1+1</f>
        <v>2022</v>
      </c>
      <c r="S1" s="3">
        <f t="shared" ref="S1:X1" si="0">+R1+1</f>
        <v>2023</v>
      </c>
      <c r="T1" s="3">
        <f t="shared" si="0"/>
        <v>2024</v>
      </c>
      <c r="U1" s="3">
        <f t="shared" si="0"/>
        <v>2025</v>
      </c>
      <c r="V1" s="3">
        <f t="shared" si="0"/>
        <v>2026</v>
      </c>
      <c r="W1" s="3">
        <f t="shared" si="0"/>
        <v>2027</v>
      </c>
      <c r="X1" s="3">
        <f t="shared" si="0"/>
        <v>2028</v>
      </c>
      <c r="Y1" s="3">
        <f t="shared" ref="Y1:Z1" si="1">+X1+1</f>
        <v>2029</v>
      </c>
      <c r="Z1" s="3">
        <f t="shared" si="1"/>
        <v>2030</v>
      </c>
    </row>
    <row r="2" spans="1:29" x14ac:dyDescent="0.2">
      <c r="A2" s="1" t="s">
        <v>7</v>
      </c>
      <c r="B2" s="2">
        <v>100.21599999999999</v>
      </c>
      <c r="C2" s="2">
        <v>95.546999999999997</v>
      </c>
      <c r="D2" s="2">
        <v>111.608</v>
      </c>
      <c r="E2" s="2">
        <v>174.05600000000001</v>
      </c>
      <c r="F2" s="2">
        <v>117.004</v>
      </c>
      <c r="G2" s="2">
        <v>103.696</v>
      </c>
      <c r="H2" s="2">
        <v>118.175</v>
      </c>
      <c r="I2" s="2">
        <v>158.96100000000001</v>
      </c>
      <c r="J2" s="2">
        <v>134.03899999999999</v>
      </c>
      <c r="K2" s="2">
        <v>119.3</v>
      </c>
      <c r="L2" s="2">
        <v>148.06800000000001</v>
      </c>
      <c r="M2" s="2">
        <v>219.98500000000001</v>
      </c>
      <c r="N2" s="2">
        <v>140.12799999999999</v>
      </c>
      <c r="P2" s="2">
        <v>201.648</v>
      </c>
      <c r="Q2" s="2">
        <v>346.03500000000003</v>
      </c>
      <c r="R2" s="2">
        <v>481.42700000000002</v>
      </c>
      <c r="S2" s="2">
        <v>497.83600000000001</v>
      </c>
      <c r="T2" s="2">
        <v>621.39200000000005</v>
      </c>
      <c r="U2" s="2">
        <f>+T2*1.15</f>
        <v>714.60080000000005</v>
      </c>
      <c r="V2" s="2">
        <f>+U2*1.2</f>
        <v>857.52096000000006</v>
      </c>
      <c r="W2" s="2">
        <f t="shared" ref="W2" si="2">+V2*1.2</f>
        <v>1029.0251519999999</v>
      </c>
      <c r="X2" s="2">
        <f t="shared" ref="X2:Z2" si="3">+W2*1.15</f>
        <v>1183.3789247999998</v>
      </c>
      <c r="Y2" s="2">
        <f t="shared" si="3"/>
        <v>1360.8857635199997</v>
      </c>
      <c r="Z2" s="2">
        <f t="shared" si="3"/>
        <v>1565.0186280479995</v>
      </c>
      <c r="AB2" s="1" t="s">
        <v>118</v>
      </c>
      <c r="AC2" s="5">
        <v>0.08</v>
      </c>
    </row>
    <row r="3" spans="1:29" x14ac:dyDescent="0.2">
      <c r="A3" s="1" t="s">
        <v>8</v>
      </c>
      <c r="B3" s="2">
        <v>77.641999999999996</v>
      </c>
      <c r="C3" s="2">
        <v>90.319000000000003</v>
      </c>
      <c r="D3" s="2">
        <v>97.962999999999994</v>
      </c>
      <c r="E3" s="2">
        <v>103.943</v>
      </c>
      <c r="F3" s="2">
        <v>115.494</v>
      </c>
      <c r="G3" s="2">
        <v>124.65600000000001</v>
      </c>
      <c r="H3" s="2">
        <v>130.15899999999999</v>
      </c>
      <c r="I3" s="2">
        <v>138.51400000000001</v>
      </c>
      <c r="J3" s="2">
        <v>146.352</v>
      </c>
      <c r="K3" s="2">
        <v>159.999</v>
      </c>
      <c r="L3" s="2">
        <v>167.529</v>
      </c>
      <c r="M3" s="2">
        <v>176.03800000000001</v>
      </c>
      <c r="N3" s="2">
        <v>185.131</v>
      </c>
      <c r="P3" s="2">
        <v>119.61199999999999</v>
      </c>
      <c r="Q3" s="2">
        <v>232.542</v>
      </c>
      <c r="R3" s="2">
        <v>369.86700000000002</v>
      </c>
      <c r="S3" s="2">
        <v>508.82299999999998</v>
      </c>
      <c r="T3" s="2">
        <v>649.91800000000001</v>
      </c>
      <c r="U3" s="2">
        <f>+T3*1.2</f>
        <v>779.90160000000003</v>
      </c>
      <c r="V3" s="2">
        <f>+U3*1.17</f>
        <v>912.484872</v>
      </c>
      <c r="W3" s="2">
        <f>+V3*1.15</f>
        <v>1049.3576028</v>
      </c>
      <c r="X3" s="2">
        <f t="shared" ref="X3:Z3" si="4">+W3*1.12</f>
        <v>1175.2805151360001</v>
      </c>
      <c r="Y3" s="2">
        <f t="shared" si="4"/>
        <v>1316.3141769523202</v>
      </c>
      <c r="Z3" s="2">
        <f t="shared" si="4"/>
        <v>1474.2718781865988</v>
      </c>
      <c r="AB3" s="1" t="s">
        <v>119</v>
      </c>
      <c r="AC3" s="5">
        <v>0.02</v>
      </c>
    </row>
    <row r="4" spans="1:29" x14ac:dyDescent="0.2">
      <c r="A4" s="1" t="s">
        <v>9</v>
      </c>
      <c r="B4" s="2">
        <v>8.359</v>
      </c>
      <c r="C4" s="2">
        <v>9.6549999999999994</v>
      </c>
      <c r="D4" s="2">
        <v>11.244999999999999</v>
      </c>
      <c r="E4" s="2">
        <v>11.699</v>
      </c>
      <c r="F4" s="2">
        <v>12.568</v>
      </c>
      <c r="G4" s="2">
        <v>13.87</v>
      </c>
      <c r="H4" s="2">
        <v>14.41</v>
      </c>
      <c r="I4" s="2">
        <v>11.074</v>
      </c>
      <c r="J4" s="2">
        <v>9.1969999999999992</v>
      </c>
      <c r="K4" s="2">
        <v>8.0109999999999992</v>
      </c>
      <c r="L4" s="2">
        <v>10.324</v>
      </c>
      <c r="M4" s="2">
        <v>9.23</v>
      </c>
      <c r="N4" s="2">
        <v>9.8529999999999998</v>
      </c>
      <c r="P4" s="2">
        <v>14.896000000000001</v>
      </c>
      <c r="Q4" s="2">
        <v>29.065999999999999</v>
      </c>
      <c r="R4" s="2">
        <v>40.957999999999998</v>
      </c>
      <c r="S4" s="2">
        <v>51.921999999999997</v>
      </c>
      <c r="T4" s="2">
        <v>36.762</v>
      </c>
      <c r="U4" s="2">
        <f>+T4*1.03</f>
        <v>37.86486</v>
      </c>
      <c r="V4" s="2">
        <f t="shared" ref="V4:Z4" si="5">+U4*1.03</f>
        <v>39.000805800000002</v>
      </c>
      <c r="W4" s="2">
        <f t="shared" si="5"/>
        <v>40.170829974</v>
      </c>
      <c r="X4" s="2">
        <f t="shared" si="5"/>
        <v>41.375954873220003</v>
      </c>
      <c r="Y4" s="2">
        <f t="shared" si="5"/>
        <v>42.617233519416601</v>
      </c>
      <c r="Z4" s="2">
        <f t="shared" si="5"/>
        <v>43.895750524999102</v>
      </c>
      <c r="AB4" s="1" t="s">
        <v>120</v>
      </c>
      <c r="AC4" s="5">
        <v>0.03</v>
      </c>
    </row>
    <row r="5" spans="1:29" x14ac:dyDescent="0.2">
      <c r="P5" s="2"/>
      <c r="Q5" s="2"/>
      <c r="R5" s="2"/>
      <c r="S5" s="2"/>
      <c r="T5" s="2"/>
      <c r="U5" s="2"/>
      <c r="V5" s="2"/>
      <c r="W5" s="2"/>
      <c r="X5" s="2"/>
      <c r="Y5" s="2"/>
      <c r="Z5" s="2"/>
      <c r="AB5" s="1" t="s">
        <v>121</v>
      </c>
      <c r="AC5" s="11">
        <f>+NPV(AC2,U23:CJ23)</f>
        <v>12857.186424236896</v>
      </c>
    </row>
    <row r="6" spans="1:29" x14ac:dyDescent="0.2">
      <c r="A6" s="3" t="s">
        <v>23</v>
      </c>
      <c r="B6" s="4">
        <f t="shared" ref="B6:M6" si="6">+B2+B3+B4</f>
        <v>186.21700000000001</v>
      </c>
      <c r="C6" s="4">
        <f t="shared" si="6"/>
        <v>195.52099999999999</v>
      </c>
      <c r="D6" s="4">
        <f t="shared" si="6"/>
        <v>220.816</v>
      </c>
      <c r="E6" s="4">
        <f t="shared" si="6"/>
        <v>289.69800000000004</v>
      </c>
      <c r="F6" s="4">
        <f t="shared" si="6"/>
        <v>245.066</v>
      </c>
      <c r="G6" s="4">
        <f t="shared" si="6"/>
        <v>242.22200000000001</v>
      </c>
      <c r="H6" s="4">
        <f t="shared" si="6"/>
        <v>262.74400000000003</v>
      </c>
      <c r="I6" s="4">
        <f t="shared" si="6"/>
        <v>308.54900000000004</v>
      </c>
      <c r="J6" s="4">
        <f t="shared" si="6"/>
        <v>289.58799999999997</v>
      </c>
      <c r="K6" s="4">
        <f t="shared" si="6"/>
        <v>287.31</v>
      </c>
      <c r="L6" s="4">
        <f t="shared" si="6"/>
        <v>325.92099999999999</v>
      </c>
      <c r="M6" s="4">
        <f t="shared" si="6"/>
        <v>405.25300000000004</v>
      </c>
      <c r="N6" s="4">
        <f>+N2+N3+N4</f>
        <v>335.11200000000002</v>
      </c>
      <c r="P6" s="4">
        <f t="shared" ref="P6" si="7">+P2+P3+P4</f>
        <v>336.15600000000001</v>
      </c>
      <c r="Q6" s="4">
        <f t="shared" ref="Q6:X6" si="8">+Q2+Q3+Q4</f>
        <v>607.64300000000003</v>
      </c>
      <c r="R6" s="4">
        <f t="shared" si="8"/>
        <v>892.25200000000007</v>
      </c>
      <c r="S6" s="4">
        <f t="shared" si="8"/>
        <v>1058.5809999999999</v>
      </c>
      <c r="T6" s="4">
        <f t="shared" si="8"/>
        <v>1308.0719999999999</v>
      </c>
      <c r="U6" s="4">
        <f t="shared" si="8"/>
        <v>1532.36726</v>
      </c>
      <c r="V6" s="4">
        <f t="shared" si="8"/>
        <v>1809.0066378000001</v>
      </c>
      <c r="W6" s="4">
        <f t="shared" si="8"/>
        <v>2118.5535847739998</v>
      </c>
      <c r="X6" s="4">
        <f t="shared" si="8"/>
        <v>2400.0353948092202</v>
      </c>
      <c r="Y6" s="4">
        <f t="shared" ref="Y6:Z6" si="9">+Y2+Y3+Y4</f>
        <v>2719.8171739917366</v>
      </c>
      <c r="Z6" s="4">
        <f t="shared" si="9"/>
        <v>3083.1862567595972</v>
      </c>
      <c r="AB6" s="1" t="s">
        <v>122</v>
      </c>
      <c r="AC6" s="2">
        <f>+T92</f>
        <v>1879.8230000000001</v>
      </c>
    </row>
    <row r="7" spans="1:29" x14ac:dyDescent="0.2">
      <c r="A7" s="1" t="s">
        <v>24</v>
      </c>
      <c r="B7" s="2">
        <v>2.4540000000000002</v>
      </c>
      <c r="C7" s="2">
        <v>2.4340000000000002</v>
      </c>
      <c r="D7" s="2">
        <v>2.6259999999999999</v>
      </c>
      <c r="E7" s="2">
        <v>4.3739999999999997</v>
      </c>
      <c r="F7" s="2">
        <v>2.5369999999999999</v>
      </c>
      <c r="G7" s="2">
        <v>2.17</v>
      </c>
      <c r="H7" s="2">
        <v>3.2080000000000002</v>
      </c>
      <c r="I7" s="2">
        <v>2.5059999999999998</v>
      </c>
      <c r="J7" s="2">
        <v>2.5470000000000002</v>
      </c>
      <c r="K7" s="2">
        <v>3.008</v>
      </c>
      <c r="L7" s="2">
        <v>2.7810000000000001</v>
      </c>
      <c r="M7" s="2">
        <v>2.133</v>
      </c>
      <c r="N7" s="2">
        <v>2.601</v>
      </c>
      <c r="P7" s="2">
        <v>3.76</v>
      </c>
      <c r="Q7" s="2">
        <v>7.0540000000000003</v>
      </c>
      <c r="R7" s="2">
        <v>11.888</v>
      </c>
      <c r="S7" s="2">
        <v>10.420999999999999</v>
      </c>
      <c r="T7" s="2">
        <v>10.468999999999999</v>
      </c>
      <c r="U7" s="2">
        <f>+U2*0.02</f>
        <v>14.292016000000002</v>
      </c>
      <c r="V7" s="2">
        <f t="shared" ref="V7:Z7" si="10">+V2*0.02</f>
        <v>17.150419200000002</v>
      </c>
      <c r="W7" s="2">
        <f t="shared" si="10"/>
        <v>20.58050304</v>
      </c>
      <c r="X7" s="2">
        <f t="shared" si="10"/>
        <v>23.667578495999997</v>
      </c>
      <c r="Y7" s="2">
        <f t="shared" si="10"/>
        <v>27.217715270399996</v>
      </c>
      <c r="Z7" s="2">
        <f t="shared" si="10"/>
        <v>31.300372560959993</v>
      </c>
      <c r="AB7" s="1" t="s">
        <v>124</v>
      </c>
      <c r="AC7" s="2">
        <f>+AC5+AC6</f>
        <v>14737.009424236896</v>
      </c>
    </row>
    <row r="8" spans="1:29" x14ac:dyDescent="0.2">
      <c r="A8" s="1" t="s">
        <v>25</v>
      </c>
      <c r="B8" s="2">
        <v>14.179</v>
      </c>
      <c r="C8" s="2">
        <v>12.238</v>
      </c>
      <c r="D8" s="2">
        <v>15.659000000000001</v>
      </c>
      <c r="E8" s="2">
        <v>18.489000000000001</v>
      </c>
      <c r="F8" s="2">
        <v>21.045000000000002</v>
      </c>
      <c r="G8" s="2">
        <v>22.326000000000001</v>
      </c>
      <c r="H8" s="2">
        <v>20.577999999999999</v>
      </c>
      <c r="I8" s="2">
        <v>23.146999999999998</v>
      </c>
      <c r="J8" s="2">
        <v>23.077999999999999</v>
      </c>
      <c r="K8" s="2">
        <v>26.777000000000001</v>
      </c>
      <c r="L8" s="2">
        <v>28.646999999999998</v>
      </c>
      <c r="M8" s="2">
        <v>33.42</v>
      </c>
      <c r="N8" s="2">
        <v>36.753999999999998</v>
      </c>
      <c r="P8" s="2">
        <v>16.503</v>
      </c>
      <c r="Q8" s="2">
        <v>24.215</v>
      </c>
      <c r="R8" s="2">
        <v>60.564999999999998</v>
      </c>
      <c r="S8" s="2">
        <v>87.366</v>
      </c>
      <c r="T8" s="2">
        <v>111.922</v>
      </c>
      <c r="U8" s="2">
        <f>+U3*0.172</f>
        <v>134.1430752</v>
      </c>
      <c r="V8" s="2">
        <f t="shared" ref="V8:Z8" si="11">+V3*0.172</f>
        <v>156.94739798399999</v>
      </c>
      <c r="W8" s="2">
        <f t="shared" si="11"/>
        <v>180.48950768159997</v>
      </c>
      <c r="X8" s="2">
        <f t="shared" si="11"/>
        <v>202.14824860339201</v>
      </c>
      <c r="Y8" s="2">
        <f t="shared" si="11"/>
        <v>226.40603843579905</v>
      </c>
      <c r="Z8" s="2">
        <f t="shared" si="11"/>
        <v>253.57476304809498</v>
      </c>
      <c r="AB8" s="1" t="s">
        <v>123</v>
      </c>
      <c r="AC8" s="7">
        <f>+AC7/main!B3</f>
        <v>25.729097281025904</v>
      </c>
    </row>
    <row r="9" spans="1:29" x14ac:dyDescent="0.2">
      <c r="A9" s="1" t="s">
        <v>29</v>
      </c>
      <c r="B9" s="2">
        <v>32.377000000000002</v>
      </c>
      <c r="C9" s="2">
        <v>20.922000000000001</v>
      </c>
      <c r="D9" s="2">
        <v>21.815000000000001</v>
      </c>
      <c r="E9" s="2">
        <v>18.300999999999998</v>
      </c>
      <c r="F9" s="2">
        <v>21.434000000000001</v>
      </c>
      <c r="G9" s="2">
        <v>20.079999999999998</v>
      </c>
      <c r="H9" s="2">
        <v>18.981999999999999</v>
      </c>
      <c r="I9" s="2">
        <v>21.768000000000001</v>
      </c>
      <c r="J9" s="2">
        <v>18.042000000000002</v>
      </c>
      <c r="K9" s="2">
        <v>19.202000000000002</v>
      </c>
      <c r="L9" s="2">
        <v>18.492000000000001</v>
      </c>
      <c r="M9" s="2">
        <v>17.797000000000001</v>
      </c>
      <c r="N9" s="2">
        <v>15.97</v>
      </c>
      <c r="P9" s="2">
        <v>39.142000000000003</v>
      </c>
      <c r="Q9" s="2">
        <v>34.588000000000001</v>
      </c>
      <c r="R9" s="2">
        <v>96.415000000000006</v>
      </c>
      <c r="S9" s="2">
        <v>82.263999999999996</v>
      </c>
      <c r="T9" s="2">
        <v>73.533000000000001</v>
      </c>
      <c r="U9" s="2">
        <f>+T9*1.03</f>
        <v>75.738990000000001</v>
      </c>
      <c r="V9" s="2">
        <f t="shared" ref="V9:Z9" si="12">+U9*1.03</f>
        <v>78.011159700000007</v>
      </c>
      <c r="W9" s="2">
        <f t="shared" si="12"/>
        <v>80.351494491000011</v>
      </c>
      <c r="X9" s="2">
        <f t="shared" si="12"/>
        <v>82.762039325730015</v>
      </c>
      <c r="Y9" s="2">
        <f t="shared" si="12"/>
        <v>85.244900505501917</v>
      </c>
      <c r="Z9" s="2">
        <f t="shared" si="12"/>
        <v>87.802247520666981</v>
      </c>
    </row>
    <row r="10" spans="1:29" x14ac:dyDescent="0.2">
      <c r="A10" s="1" t="s">
        <v>26</v>
      </c>
      <c r="B10" s="2">
        <f t="shared" ref="B10:M12" si="13">+B2-B7</f>
        <v>97.762</v>
      </c>
      <c r="C10" s="2">
        <f t="shared" si="13"/>
        <v>93.113</v>
      </c>
      <c r="D10" s="2">
        <f t="shared" si="13"/>
        <v>108.982</v>
      </c>
      <c r="E10" s="2">
        <f t="shared" si="13"/>
        <v>169.68200000000002</v>
      </c>
      <c r="F10" s="2">
        <f t="shared" si="13"/>
        <v>114.467</v>
      </c>
      <c r="G10" s="2">
        <f t="shared" si="13"/>
        <v>101.526</v>
      </c>
      <c r="H10" s="2">
        <f t="shared" si="13"/>
        <v>114.967</v>
      </c>
      <c r="I10" s="2">
        <f t="shared" si="13"/>
        <v>156.45500000000001</v>
      </c>
      <c r="J10" s="2">
        <f t="shared" si="13"/>
        <v>131.49199999999999</v>
      </c>
      <c r="K10" s="2">
        <f t="shared" si="13"/>
        <v>116.292</v>
      </c>
      <c r="L10" s="2">
        <f t="shared" si="13"/>
        <v>145.28700000000001</v>
      </c>
      <c r="M10" s="2">
        <f t="shared" si="13"/>
        <v>217.852</v>
      </c>
      <c r="N10" s="2">
        <f>+N2-N7</f>
        <v>137.52699999999999</v>
      </c>
      <c r="P10" s="2">
        <f t="shared" ref="P10" si="14">+P2-P7</f>
        <v>197.88800000000001</v>
      </c>
      <c r="Q10" s="2">
        <f t="shared" ref="Q10:X10" si="15">+Q2-Q7</f>
        <v>338.98100000000005</v>
      </c>
      <c r="R10" s="2">
        <f t="shared" si="15"/>
        <v>469.53900000000004</v>
      </c>
      <c r="S10" s="2">
        <f t="shared" si="15"/>
        <v>487.41500000000002</v>
      </c>
      <c r="T10" s="2">
        <f t="shared" si="15"/>
        <v>610.923</v>
      </c>
      <c r="U10" s="2">
        <f t="shared" si="15"/>
        <v>700.30878400000006</v>
      </c>
      <c r="V10" s="2">
        <f t="shared" si="15"/>
        <v>840.37054080000007</v>
      </c>
      <c r="W10" s="2">
        <f t="shared" si="15"/>
        <v>1008.4446489599999</v>
      </c>
      <c r="X10" s="2">
        <f t="shared" si="15"/>
        <v>1159.7113463039998</v>
      </c>
      <c r="Y10" s="2">
        <f t="shared" ref="Y10:Z10" si="16">+Y2-Y7</f>
        <v>1333.6680482495997</v>
      </c>
      <c r="Z10" s="2">
        <f t="shared" si="16"/>
        <v>1533.7182554870396</v>
      </c>
    </row>
    <row r="11" spans="1:29" x14ac:dyDescent="0.2">
      <c r="A11" s="1" t="s">
        <v>27</v>
      </c>
      <c r="B11" s="2">
        <f t="shared" si="13"/>
        <v>63.462999999999994</v>
      </c>
      <c r="C11" s="2">
        <f t="shared" si="13"/>
        <v>78.081000000000003</v>
      </c>
      <c r="D11" s="2">
        <f t="shared" si="13"/>
        <v>82.303999999999988</v>
      </c>
      <c r="E11" s="2">
        <f t="shared" si="13"/>
        <v>85.453999999999994</v>
      </c>
      <c r="F11" s="2">
        <f t="shared" si="13"/>
        <v>94.448999999999998</v>
      </c>
      <c r="G11" s="2">
        <f t="shared" si="13"/>
        <v>102.33000000000001</v>
      </c>
      <c r="H11" s="2">
        <f t="shared" si="13"/>
        <v>109.58099999999999</v>
      </c>
      <c r="I11" s="2">
        <f t="shared" si="13"/>
        <v>115.36700000000002</v>
      </c>
      <c r="J11" s="2">
        <f t="shared" si="13"/>
        <v>123.274</v>
      </c>
      <c r="K11" s="2">
        <f t="shared" si="13"/>
        <v>133.22199999999998</v>
      </c>
      <c r="L11" s="2">
        <f t="shared" si="13"/>
        <v>138.88200000000001</v>
      </c>
      <c r="M11" s="2">
        <f t="shared" si="13"/>
        <v>142.61799999999999</v>
      </c>
      <c r="N11" s="2">
        <f t="shared" ref="N11:N12" si="17">+N3-N8</f>
        <v>148.37700000000001</v>
      </c>
      <c r="P11" s="2">
        <f t="shared" ref="P11" si="18">+P3-P8</f>
        <v>103.10899999999999</v>
      </c>
      <c r="Q11" s="2">
        <f t="shared" ref="Q11:X11" si="19">+Q3-Q8</f>
        <v>208.327</v>
      </c>
      <c r="R11" s="2">
        <f t="shared" si="19"/>
        <v>309.30200000000002</v>
      </c>
      <c r="S11" s="2">
        <f t="shared" si="19"/>
        <v>421.45699999999999</v>
      </c>
      <c r="T11" s="2">
        <f t="shared" si="19"/>
        <v>537.99599999999998</v>
      </c>
      <c r="U11" s="2">
        <f t="shared" si="19"/>
        <v>645.75852480000003</v>
      </c>
      <c r="V11" s="2">
        <f t="shared" si="19"/>
        <v>755.53747401600003</v>
      </c>
      <c r="W11" s="2">
        <f t="shared" si="19"/>
        <v>868.86809511839999</v>
      </c>
      <c r="X11" s="2">
        <f t="shared" si="19"/>
        <v>973.13226653260813</v>
      </c>
      <c r="Y11" s="2">
        <f t="shared" ref="Y11:Z11" si="20">+Y3-Y8</f>
        <v>1089.9081385165211</v>
      </c>
      <c r="Z11" s="2">
        <f t="shared" si="20"/>
        <v>1220.6971151385037</v>
      </c>
    </row>
    <row r="12" spans="1:29" x14ac:dyDescent="0.2">
      <c r="A12" s="1" t="s">
        <v>28</v>
      </c>
      <c r="B12" s="2">
        <f t="shared" si="13"/>
        <v>-24.018000000000001</v>
      </c>
      <c r="C12" s="2">
        <f t="shared" si="13"/>
        <v>-11.267000000000001</v>
      </c>
      <c r="D12" s="2">
        <f t="shared" si="13"/>
        <v>-10.570000000000002</v>
      </c>
      <c r="E12" s="2">
        <f t="shared" si="13"/>
        <v>-6.6019999999999985</v>
      </c>
      <c r="F12" s="2">
        <f t="shared" si="13"/>
        <v>-8.8660000000000014</v>
      </c>
      <c r="G12" s="2">
        <f t="shared" si="13"/>
        <v>-6.2099999999999991</v>
      </c>
      <c r="H12" s="2">
        <f t="shared" si="13"/>
        <v>-4.5719999999999992</v>
      </c>
      <c r="I12" s="2">
        <f t="shared" si="13"/>
        <v>-10.694000000000001</v>
      </c>
      <c r="J12" s="2">
        <f t="shared" si="13"/>
        <v>-8.8450000000000024</v>
      </c>
      <c r="K12" s="2">
        <f t="shared" si="13"/>
        <v>-11.191000000000003</v>
      </c>
      <c r="L12" s="2">
        <f t="shared" si="13"/>
        <v>-8.168000000000001</v>
      </c>
      <c r="M12" s="2">
        <f t="shared" si="13"/>
        <v>-8.5670000000000002</v>
      </c>
      <c r="N12" s="2">
        <f t="shared" si="17"/>
        <v>-6.1170000000000009</v>
      </c>
      <c r="P12" s="2">
        <f t="shared" ref="P12" si="21">+P4-P9</f>
        <v>-24.246000000000002</v>
      </c>
      <c r="Q12" s="2">
        <f t="shared" ref="Q12:X12" si="22">+Q4-Q9</f>
        <v>-5.522000000000002</v>
      </c>
      <c r="R12" s="2">
        <f t="shared" si="22"/>
        <v>-55.457000000000008</v>
      </c>
      <c r="S12" s="2">
        <f t="shared" si="22"/>
        <v>-30.341999999999999</v>
      </c>
      <c r="T12" s="2">
        <f t="shared" si="22"/>
        <v>-36.771000000000001</v>
      </c>
      <c r="U12" s="2">
        <f t="shared" si="22"/>
        <v>-37.874130000000001</v>
      </c>
      <c r="V12" s="2">
        <f t="shared" si="22"/>
        <v>-39.010353900000005</v>
      </c>
      <c r="W12" s="2">
        <f t="shared" si="22"/>
        <v>-40.180664517000011</v>
      </c>
      <c r="X12" s="2">
        <f t="shared" si="22"/>
        <v>-41.386084452510012</v>
      </c>
      <c r="Y12" s="2">
        <f t="shared" ref="Y12:Z12" si="23">+Y4-Y9</f>
        <v>-42.627666986085316</v>
      </c>
      <c r="Z12" s="2">
        <f t="shared" si="23"/>
        <v>-43.906496995667879</v>
      </c>
    </row>
    <row r="13" spans="1:29" x14ac:dyDescent="0.2">
      <c r="A13" s="1" t="s">
        <v>30</v>
      </c>
      <c r="B13" s="2">
        <f t="shared" ref="B13:M13" si="24">+SUM(B10:B12)</f>
        <v>137.20699999999999</v>
      </c>
      <c r="C13" s="2">
        <f t="shared" si="24"/>
        <v>159.92700000000002</v>
      </c>
      <c r="D13" s="2">
        <f t="shared" si="24"/>
        <v>180.71600000000001</v>
      </c>
      <c r="E13" s="2">
        <f t="shared" si="24"/>
        <v>248.53400000000002</v>
      </c>
      <c r="F13" s="2">
        <f t="shared" si="24"/>
        <v>200.04999999999998</v>
      </c>
      <c r="G13" s="2">
        <f t="shared" si="24"/>
        <v>197.64599999999999</v>
      </c>
      <c r="H13" s="2">
        <f t="shared" si="24"/>
        <v>219.976</v>
      </c>
      <c r="I13" s="2">
        <f t="shared" si="24"/>
        <v>261.12799999999999</v>
      </c>
      <c r="J13" s="2">
        <f t="shared" si="24"/>
        <v>245.92099999999999</v>
      </c>
      <c r="K13" s="2">
        <f t="shared" si="24"/>
        <v>238.32299999999998</v>
      </c>
      <c r="L13" s="2">
        <f t="shared" si="24"/>
        <v>276.00099999999998</v>
      </c>
      <c r="M13" s="2">
        <f t="shared" si="24"/>
        <v>351.90300000000002</v>
      </c>
      <c r="N13" s="2">
        <f>+SUM(N10:N12)</f>
        <v>279.78699999999998</v>
      </c>
      <c r="P13" s="2">
        <f t="shared" ref="P13:Z13" si="25">+SUM(P10:P12)</f>
        <v>276.75100000000003</v>
      </c>
      <c r="Q13" s="2">
        <f t="shared" si="25"/>
        <v>541.78599999999994</v>
      </c>
      <c r="R13" s="2">
        <f t="shared" si="25"/>
        <v>723.38400000000013</v>
      </c>
      <c r="S13" s="2">
        <f t="shared" si="25"/>
        <v>878.53000000000009</v>
      </c>
      <c r="T13" s="2">
        <f t="shared" si="25"/>
        <v>1112.1479999999999</v>
      </c>
      <c r="U13" s="2">
        <f t="shared" si="25"/>
        <v>1308.1931788000002</v>
      </c>
      <c r="V13" s="2">
        <f t="shared" si="25"/>
        <v>1556.8976609160002</v>
      </c>
      <c r="W13" s="2">
        <f t="shared" si="25"/>
        <v>1837.1320795613999</v>
      </c>
      <c r="X13" s="2">
        <f t="shared" si="25"/>
        <v>2091.4575283840977</v>
      </c>
      <c r="Y13" s="2">
        <f t="shared" si="25"/>
        <v>2380.9485197800354</v>
      </c>
      <c r="Z13" s="2">
        <f t="shared" si="25"/>
        <v>2710.5088736298753</v>
      </c>
    </row>
    <row r="14" spans="1:29" x14ac:dyDescent="0.2">
      <c r="A14" s="1" t="s">
        <v>31</v>
      </c>
      <c r="B14" s="2">
        <v>205.751</v>
      </c>
      <c r="C14" s="2">
        <v>144.268</v>
      </c>
      <c r="D14" s="2">
        <v>172.90600000000001</v>
      </c>
      <c r="E14" s="2">
        <v>174.75700000000001</v>
      </c>
      <c r="F14" s="2">
        <v>189.78200000000001</v>
      </c>
      <c r="G14" s="2">
        <v>181.547</v>
      </c>
      <c r="H14" s="2">
        <v>156.46899999999999</v>
      </c>
      <c r="I14" s="2">
        <v>173.76</v>
      </c>
      <c r="J14" s="2">
        <v>160.40600000000001</v>
      </c>
      <c r="K14" s="2">
        <v>169.72499999999999</v>
      </c>
      <c r="L14" s="2">
        <v>191.28200000000001</v>
      </c>
      <c r="M14" s="2">
        <v>191.71700000000001</v>
      </c>
      <c r="N14" s="2">
        <v>180.13900000000001</v>
      </c>
      <c r="P14" s="2">
        <v>483.34399999999999</v>
      </c>
      <c r="Q14" s="2">
        <v>380.154</v>
      </c>
      <c r="R14" s="2">
        <v>697.65700000000004</v>
      </c>
      <c r="S14" s="2">
        <v>701.55799999999999</v>
      </c>
      <c r="T14" s="2">
        <v>713.13</v>
      </c>
      <c r="U14" s="2">
        <f>+T14*1.02</f>
        <v>727.39260000000002</v>
      </c>
      <c r="V14" s="2">
        <f t="shared" ref="V14:Z14" si="26">+U14*1.02</f>
        <v>741.94045200000005</v>
      </c>
      <c r="W14" s="2">
        <f t="shared" si="26"/>
        <v>756.77926104000005</v>
      </c>
      <c r="X14" s="2">
        <f t="shared" si="26"/>
        <v>771.91484626080012</v>
      </c>
      <c r="Y14" s="2">
        <f t="shared" si="26"/>
        <v>787.35314318601615</v>
      </c>
      <c r="Z14" s="2">
        <f t="shared" si="26"/>
        <v>803.10020604973647</v>
      </c>
    </row>
    <row r="15" spans="1:29" x14ac:dyDescent="0.2">
      <c r="A15" s="1" t="s">
        <v>32</v>
      </c>
      <c r="B15" s="2">
        <v>93.04</v>
      </c>
      <c r="C15" s="2">
        <v>57.646000000000001</v>
      </c>
      <c r="D15" s="2">
        <v>61.558999999999997</v>
      </c>
      <c r="E15" s="2">
        <v>64.412000000000006</v>
      </c>
      <c r="F15" s="2">
        <v>68.69</v>
      </c>
      <c r="G15" s="2">
        <v>67.849000000000004</v>
      </c>
      <c r="H15" s="2">
        <v>67.340999999999994</v>
      </c>
      <c r="I15" s="2">
        <v>81.87</v>
      </c>
      <c r="J15" s="2">
        <v>75.341999999999999</v>
      </c>
      <c r="K15" s="2">
        <v>86.605999999999995</v>
      </c>
      <c r="L15" s="2">
        <v>84.513999999999996</v>
      </c>
      <c r="M15" s="2">
        <v>85.638999999999996</v>
      </c>
      <c r="N15" s="2">
        <v>85.602999999999994</v>
      </c>
      <c r="P15" s="2">
        <v>131.066</v>
      </c>
      <c r="Q15" s="2">
        <v>109.92</v>
      </c>
      <c r="R15" s="2">
        <v>276.65699999999998</v>
      </c>
      <c r="S15" s="2">
        <v>285.75</v>
      </c>
      <c r="T15" s="2">
        <v>332.101</v>
      </c>
      <c r="U15" s="2">
        <f>+U6*0.25</f>
        <v>383.091815</v>
      </c>
      <c r="V15" s="2">
        <f>+V6*0.24</f>
        <v>434.16159307200002</v>
      </c>
      <c r="W15" s="2">
        <f>+W6*0.23</f>
        <v>487.26732449801995</v>
      </c>
      <c r="X15" s="2">
        <f t="shared" ref="X15:Z15" si="27">+X6*0.23</f>
        <v>552.00814080612065</v>
      </c>
      <c r="Y15" s="2">
        <f t="shared" si="27"/>
        <v>625.5579500180994</v>
      </c>
      <c r="Z15" s="2">
        <f t="shared" si="27"/>
        <v>709.13283905470735</v>
      </c>
    </row>
    <row r="16" spans="1:29" x14ac:dyDescent="0.2">
      <c r="A16" s="1" t="s">
        <v>33</v>
      </c>
      <c r="B16" s="2">
        <v>74.415000000000006</v>
      </c>
      <c r="C16" s="2">
        <v>55.834000000000003</v>
      </c>
      <c r="D16" s="2">
        <v>59.497999999999998</v>
      </c>
      <c r="E16" s="2">
        <v>60.244</v>
      </c>
      <c r="F16" s="2">
        <v>57.53</v>
      </c>
      <c r="G16" s="2">
        <v>68.442999999999998</v>
      </c>
      <c r="H16" s="2">
        <v>63.156999999999996</v>
      </c>
      <c r="I16" s="2">
        <v>50.375</v>
      </c>
      <c r="J16" s="2">
        <v>56.584000000000003</v>
      </c>
      <c r="K16" s="2">
        <v>59.576999999999998</v>
      </c>
      <c r="L16" s="2">
        <v>56.024000000000001</v>
      </c>
      <c r="M16" s="2">
        <v>59.451999999999998</v>
      </c>
      <c r="N16" s="2">
        <v>63.51</v>
      </c>
      <c r="P16" s="2">
        <v>179.624</v>
      </c>
      <c r="Q16" s="2">
        <v>162.035</v>
      </c>
      <c r="R16" s="2">
        <v>249.99100000000001</v>
      </c>
      <c r="S16" s="2">
        <v>239.505</v>
      </c>
      <c r="T16" s="2">
        <v>231.637</v>
      </c>
      <c r="U16" s="2">
        <f>+T16*0.98</f>
        <v>227.00425999999999</v>
      </c>
      <c r="V16" s="2">
        <f t="shared" ref="V16:Z16" si="28">+U16*1.03</f>
        <v>233.81438779999999</v>
      </c>
      <c r="W16" s="2">
        <f t="shared" si="28"/>
        <v>240.828819434</v>
      </c>
      <c r="X16" s="2">
        <f t="shared" si="28"/>
        <v>248.05368401702</v>
      </c>
      <c r="Y16" s="2">
        <f t="shared" si="28"/>
        <v>255.49529453753061</v>
      </c>
      <c r="Z16" s="2">
        <f t="shared" si="28"/>
        <v>263.16015337365656</v>
      </c>
    </row>
    <row r="17" spans="1:88" x14ac:dyDescent="0.2">
      <c r="A17" s="1" t="s">
        <v>34</v>
      </c>
      <c r="B17" s="2">
        <f t="shared" ref="B17:M17" si="29">+SUM(B14:B16)</f>
        <v>373.20600000000002</v>
      </c>
      <c r="C17" s="2">
        <f t="shared" si="29"/>
        <v>257.74799999999999</v>
      </c>
      <c r="D17" s="2">
        <f t="shared" si="29"/>
        <v>293.96300000000002</v>
      </c>
      <c r="E17" s="2">
        <f t="shared" si="29"/>
        <v>299.41300000000001</v>
      </c>
      <c r="F17" s="2">
        <f t="shared" si="29"/>
        <v>316.00199999999995</v>
      </c>
      <c r="G17" s="2">
        <f t="shared" si="29"/>
        <v>317.839</v>
      </c>
      <c r="H17" s="2">
        <f t="shared" si="29"/>
        <v>286.96699999999998</v>
      </c>
      <c r="I17" s="2">
        <f t="shared" si="29"/>
        <v>306.005</v>
      </c>
      <c r="J17" s="2">
        <f t="shared" si="29"/>
        <v>292.33199999999999</v>
      </c>
      <c r="K17" s="2">
        <f t="shared" si="29"/>
        <v>315.90800000000002</v>
      </c>
      <c r="L17" s="2">
        <f t="shared" si="29"/>
        <v>331.82</v>
      </c>
      <c r="M17" s="2">
        <f t="shared" si="29"/>
        <v>336.80799999999999</v>
      </c>
      <c r="N17" s="2">
        <f>+SUM(N14:N16)</f>
        <v>329.25200000000001</v>
      </c>
      <c r="P17" s="2">
        <f t="shared" ref="P17:Z17" si="30">+SUM(P14:P16)</f>
        <v>794.03399999999999</v>
      </c>
      <c r="Q17" s="2">
        <f t="shared" si="30"/>
        <v>652.10900000000004</v>
      </c>
      <c r="R17" s="2">
        <f t="shared" si="30"/>
        <v>1224.3050000000001</v>
      </c>
      <c r="S17" s="2">
        <f t="shared" si="30"/>
        <v>1226.8130000000001</v>
      </c>
      <c r="T17" s="2">
        <f t="shared" si="30"/>
        <v>1276.8679999999999</v>
      </c>
      <c r="U17" s="2">
        <f t="shared" si="30"/>
        <v>1337.4886749999998</v>
      </c>
      <c r="V17" s="2">
        <f t="shared" si="30"/>
        <v>1409.9164328720001</v>
      </c>
      <c r="W17" s="2">
        <f t="shared" si="30"/>
        <v>1484.8754049720201</v>
      </c>
      <c r="X17" s="2">
        <f t="shared" si="30"/>
        <v>1571.9766710839408</v>
      </c>
      <c r="Y17" s="2">
        <f t="shared" si="30"/>
        <v>1668.4063877416461</v>
      </c>
      <c r="Z17" s="2">
        <f t="shared" si="30"/>
        <v>1775.3931984781004</v>
      </c>
    </row>
    <row r="18" spans="1:88" x14ac:dyDescent="0.2">
      <c r="A18" s="3" t="s">
        <v>35</v>
      </c>
      <c r="B18" s="4">
        <f t="shared" ref="B18:M18" si="31">+B13-B17</f>
        <v>-235.99900000000002</v>
      </c>
      <c r="C18" s="4">
        <f t="shared" si="31"/>
        <v>-97.82099999999997</v>
      </c>
      <c r="D18" s="4">
        <f t="shared" si="31"/>
        <v>-113.24700000000001</v>
      </c>
      <c r="E18" s="4">
        <f t="shared" si="31"/>
        <v>-50.878999999999991</v>
      </c>
      <c r="F18" s="4">
        <f t="shared" si="31"/>
        <v>-115.95199999999997</v>
      </c>
      <c r="G18" s="4">
        <f t="shared" si="31"/>
        <v>-120.19300000000001</v>
      </c>
      <c r="H18" s="4">
        <f t="shared" si="31"/>
        <v>-66.990999999999985</v>
      </c>
      <c r="I18" s="4">
        <f t="shared" si="31"/>
        <v>-44.87700000000001</v>
      </c>
      <c r="J18" s="4">
        <f t="shared" si="31"/>
        <v>-46.411000000000001</v>
      </c>
      <c r="K18" s="4">
        <f t="shared" si="31"/>
        <v>-77.585000000000036</v>
      </c>
      <c r="L18" s="4">
        <f t="shared" si="31"/>
        <v>-55.819000000000017</v>
      </c>
      <c r="M18" s="4">
        <f t="shared" si="31"/>
        <v>15.095000000000027</v>
      </c>
      <c r="N18" s="4">
        <f>+N13-N17</f>
        <v>-49.465000000000032</v>
      </c>
      <c r="P18" s="4">
        <f t="shared" ref="P18:Z18" si="32">+P13-P17</f>
        <v>-517.2829999999999</v>
      </c>
      <c r="Q18" s="4">
        <f t="shared" si="32"/>
        <v>-110.32300000000009</v>
      </c>
      <c r="R18" s="4">
        <f t="shared" si="32"/>
        <v>-500.92099999999994</v>
      </c>
      <c r="S18" s="4">
        <f t="shared" si="32"/>
        <v>-348.28300000000002</v>
      </c>
      <c r="T18" s="4">
        <f t="shared" si="32"/>
        <v>-164.72000000000003</v>
      </c>
      <c r="U18" s="4">
        <f t="shared" si="32"/>
        <v>-29.295496199999661</v>
      </c>
      <c r="V18" s="4">
        <f t="shared" si="32"/>
        <v>146.98122804400009</v>
      </c>
      <c r="W18" s="4">
        <f t="shared" si="32"/>
        <v>352.25667458937983</v>
      </c>
      <c r="X18" s="4">
        <f t="shared" si="32"/>
        <v>519.48085730015691</v>
      </c>
      <c r="Y18" s="4">
        <f t="shared" si="32"/>
        <v>712.54213203838935</v>
      </c>
      <c r="Z18" s="4">
        <f t="shared" si="32"/>
        <v>935.11567515177489</v>
      </c>
    </row>
    <row r="19" spans="1:88" x14ac:dyDescent="0.2">
      <c r="A19" s="1" t="s">
        <v>36</v>
      </c>
      <c r="B19" s="2">
        <v>0.94099999999999995</v>
      </c>
      <c r="C19" s="2">
        <v>0.76600000000000001</v>
      </c>
      <c r="D19" s="2">
        <v>0.89900000000000002</v>
      </c>
      <c r="E19" s="2">
        <v>0.94499999999999995</v>
      </c>
      <c r="F19" s="2">
        <v>0.99099999999999999</v>
      </c>
      <c r="G19" s="2">
        <v>4.5049999999999999</v>
      </c>
      <c r="H19" s="2">
        <v>9.5609999999999999</v>
      </c>
      <c r="I19" s="2">
        <v>12.898</v>
      </c>
      <c r="J19" s="2">
        <v>13.848000000000001</v>
      </c>
      <c r="K19" s="2">
        <v>13.582000000000001</v>
      </c>
      <c r="L19" s="2">
        <v>14.483000000000001</v>
      </c>
      <c r="M19" s="2">
        <v>15.217000000000001</v>
      </c>
      <c r="N19" s="2">
        <v>13.83</v>
      </c>
      <c r="P19" s="2">
        <v>6.7409999999999997</v>
      </c>
      <c r="Q19" s="2">
        <v>1.1519999999999999</v>
      </c>
      <c r="R19" s="2">
        <v>3.5510000000000002</v>
      </c>
      <c r="S19" s="2">
        <v>27.954999999999998</v>
      </c>
      <c r="T19" s="2">
        <v>57.13</v>
      </c>
      <c r="U19" s="2"/>
      <c r="V19" s="2"/>
      <c r="W19" s="2"/>
      <c r="X19" s="2"/>
      <c r="Y19" s="2"/>
      <c r="Z19" s="2"/>
    </row>
    <row r="20" spans="1:88" x14ac:dyDescent="0.2">
      <c r="A20" s="1" t="s">
        <v>37</v>
      </c>
      <c r="B20" s="2">
        <v>-3.218</v>
      </c>
      <c r="C20" s="2">
        <v>-1.2250000000000001</v>
      </c>
      <c r="D20" s="2">
        <v>-4.3</v>
      </c>
      <c r="E20" s="2">
        <v>-4.7450000000000001</v>
      </c>
      <c r="F20" s="2">
        <v>-2.8109999999999999</v>
      </c>
      <c r="G20" s="2">
        <v>-0.6</v>
      </c>
      <c r="H20" s="2">
        <v>0.88800000000000001</v>
      </c>
      <c r="I20" s="2">
        <v>5.29</v>
      </c>
      <c r="J20" s="2">
        <v>4.2939999999999996</v>
      </c>
      <c r="K20" s="2">
        <v>7.4720000000000004</v>
      </c>
      <c r="L20" s="2">
        <v>13.725</v>
      </c>
      <c r="M20" s="2">
        <v>6.2839999999999998</v>
      </c>
      <c r="N20" s="2">
        <v>10.679</v>
      </c>
      <c r="P20" s="2">
        <v>-6.5970000000000004</v>
      </c>
      <c r="Q20" s="2">
        <v>14.513</v>
      </c>
      <c r="R20" s="2">
        <v>-13.488</v>
      </c>
      <c r="S20" s="2">
        <v>2.7669999999999999</v>
      </c>
      <c r="T20" s="2">
        <v>31.774999999999999</v>
      </c>
      <c r="U20" s="2">
        <f>+T92*$AC$4</f>
        <v>56.394690000000004</v>
      </c>
      <c r="V20" s="2">
        <f t="shared" ref="V20:Z20" si="33">+U92*$AC$4</f>
        <v>56.77296461400001</v>
      </c>
      <c r="W20" s="2">
        <f t="shared" si="33"/>
        <v>62.437848157740014</v>
      </c>
      <c r="X20" s="2">
        <f t="shared" si="33"/>
        <v>74.417509337073611</v>
      </c>
      <c r="Y20" s="2">
        <f t="shared" si="33"/>
        <v>91.75945059801812</v>
      </c>
      <c r="Z20" s="2">
        <f t="shared" si="33"/>
        <v>115.39923804679279</v>
      </c>
    </row>
    <row r="21" spans="1:88" x14ac:dyDescent="0.2">
      <c r="A21" s="1" t="s">
        <v>38</v>
      </c>
      <c r="B21" s="2">
        <f t="shared" ref="B21:M21" si="34">+B18+B19+B20</f>
        <v>-238.27600000000001</v>
      </c>
      <c r="C21" s="2">
        <f t="shared" si="34"/>
        <v>-98.279999999999959</v>
      </c>
      <c r="D21" s="2">
        <f t="shared" si="34"/>
        <v>-116.64800000000001</v>
      </c>
      <c r="E21" s="2">
        <f t="shared" si="34"/>
        <v>-54.678999999999988</v>
      </c>
      <c r="F21" s="2">
        <f t="shared" si="34"/>
        <v>-117.77199999999996</v>
      </c>
      <c r="G21" s="2">
        <f t="shared" si="34"/>
        <v>-116.28800000000001</v>
      </c>
      <c r="H21" s="2">
        <f t="shared" si="34"/>
        <v>-56.541999999999987</v>
      </c>
      <c r="I21" s="2">
        <f t="shared" si="34"/>
        <v>-26.689000000000011</v>
      </c>
      <c r="J21" s="2">
        <f t="shared" si="34"/>
        <v>-28.269000000000002</v>
      </c>
      <c r="K21" s="2">
        <f t="shared" si="34"/>
        <v>-56.531000000000041</v>
      </c>
      <c r="L21" s="2">
        <f t="shared" si="34"/>
        <v>-27.611000000000011</v>
      </c>
      <c r="M21" s="2">
        <f t="shared" si="34"/>
        <v>36.596000000000025</v>
      </c>
      <c r="N21" s="2">
        <f>+N18+N19+N20</f>
        <v>-24.956000000000031</v>
      </c>
      <c r="P21" s="2">
        <f t="shared" ref="P21:Z21" si="35">+P18+P19+P20</f>
        <v>-517.1389999999999</v>
      </c>
      <c r="Q21" s="2">
        <f t="shared" si="35"/>
        <v>-94.658000000000087</v>
      </c>
      <c r="R21" s="2">
        <f t="shared" si="35"/>
        <v>-510.85799999999995</v>
      </c>
      <c r="S21" s="2">
        <f t="shared" si="35"/>
        <v>-317.56100000000004</v>
      </c>
      <c r="T21" s="2">
        <f t="shared" si="35"/>
        <v>-75.815000000000026</v>
      </c>
      <c r="U21" s="2">
        <f t="shared" si="35"/>
        <v>27.099193800000343</v>
      </c>
      <c r="V21" s="2">
        <f t="shared" si="35"/>
        <v>203.75419265800011</v>
      </c>
      <c r="W21" s="2">
        <f t="shared" si="35"/>
        <v>414.69452274711983</v>
      </c>
      <c r="X21" s="2">
        <f t="shared" si="35"/>
        <v>593.89836663723054</v>
      </c>
      <c r="Y21" s="2">
        <f t="shared" si="35"/>
        <v>804.30158263640749</v>
      </c>
      <c r="Z21" s="2">
        <f t="shared" si="35"/>
        <v>1050.5149131985677</v>
      </c>
    </row>
    <row r="22" spans="1:88" x14ac:dyDescent="0.2">
      <c r="A22" s="1" t="s">
        <v>39</v>
      </c>
      <c r="B22" s="2">
        <v>1.387</v>
      </c>
      <c r="C22" s="2">
        <v>1.746</v>
      </c>
      <c r="D22" s="2">
        <v>3.1389999999999998</v>
      </c>
      <c r="E22" s="2">
        <v>8.4309999999999992</v>
      </c>
      <c r="F22" s="2">
        <v>4.7889999999999997</v>
      </c>
      <c r="G22" s="2">
        <v>4.09</v>
      </c>
      <c r="H22" s="2">
        <v>1.1819999999999999</v>
      </c>
      <c r="I22" s="2">
        <v>0.73</v>
      </c>
      <c r="J22" s="2">
        <v>3.6320000000000001</v>
      </c>
      <c r="K22" s="2">
        <v>3.83</v>
      </c>
      <c r="L22" s="2">
        <v>3.9260000000000002</v>
      </c>
      <c r="M22" s="2">
        <v>2.68</v>
      </c>
      <c r="N22" s="2">
        <v>3.78</v>
      </c>
      <c r="P22" s="2">
        <v>2.794</v>
      </c>
      <c r="Q22" s="2">
        <v>-2.2650000000000001</v>
      </c>
      <c r="R22" s="2">
        <v>14.702999999999999</v>
      </c>
      <c r="S22" s="2">
        <v>10.791</v>
      </c>
      <c r="T22" s="2">
        <v>14.068</v>
      </c>
      <c r="U22" s="2">
        <f>+T22*1.03</f>
        <v>14.49004</v>
      </c>
      <c r="V22" s="2">
        <f t="shared" ref="V22:Z22" si="36">+U22*1.03</f>
        <v>14.924741200000001</v>
      </c>
      <c r="W22" s="2">
        <f t="shared" si="36"/>
        <v>15.372483436000001</v>
      </c>
      <c r="X22" s="2">
        <f t="shared" si="36"/>
        <v>15.833657939080002</v>
      </c>
      <c r="Y22" s="2">
        <f t="shared" si="36"/>
        <v>16.308667677252402</v>
      </c>
      <c r="Z22" s="2">
        <f t="shared" si="36"/>
        <v>16.797927707569976</v>
      </c>
    </row>
    <row r="23" spans="1:88" x14ac:dyDescent="0.2">
      <c r="A23" s="1" t="s">
        <v>40</v>
      </c>
      <c r="B23" s="2">
        <f t="shared" ref="B23:M23" si="37">+B21-B22</f>
        <v>-239.66300000000001</v>
      </c>
      <c r="C23" s="2">
        <f t="shared" si="37"/>
        <v>-100.02599999999995</v>
      </c>
      <c r="D23" s="2">
        <f t="shared" si="37"/>
        <v>-119.78700000000001</v>
      </c>
      <c r="E23" s="2">
        <f t="shared" si="37"/>
        <v>-63.109999999999985</v>
      </c>
      <c r="F23" s="2">
        <f t="shared" si="37"/>
        <v>-122.56099999999996</v>
      </c>
      <c r="G23" s="2">
        <f t="shared" si="37"/>
        <v>-120.37800000000001</v>
      </c>
      <c r="H23" s="2">
        <f t="shared" si="37"/>
        <v>-57.72399999999999</v>
      </c>
      <c r="I23" s="2">
        <f t="shared" si="37"/>
        <v>-27.419000000000011</v>
      </c>
      <c r="J23" s="2">
        <f t="shared" si="37"/>
        <v>-31.901000000000003</v>
      </c>
      <c r="K23" s="2">
        <f t="shared" si="37"/>
        <v>-60.36100000000004</v>
      </c>
      <c r="L23" s="2">
        <f t="shared" si="37"/>
        <v>-31.537000000000013</v>
      </c>
      <c r="M23" s="2">
        <f t="shared" si="37"/>
        <v>33.916000000000025</v>
      </c>
      <c r="N23" s="2">
        <f>+N21-N22</f>
        <v>-28.736000000000033</v>
      </c>
      <c r="P23" s="2">
        <f t="shared" ref="P23:Z23" si="38">+P21-P22</f>
        <v>-519.93299999999988</v>
      </c>
      <c r="Q23" s="2">
        <f t="shared" si="38"/>
        <v>-92.393000000000086</v>
      </c>
      <c r="R23" s="2">
        <f t="shared" si="38"/>
        <v>-525.56099999999992</v>
      </c>
      <c r="S23" s="2">
        <f t="shared" si="38"/>
        <v>-328.35200000000003</v>
      </c>
      <c r="T23" s="2">
        <f t="shared" si="38"/>
        <v>-89.883000000000024</v>
      </c>
      <c r="U23" s="2">
        <f t="shared" si="38"/>
        <v>12.609153800000342</v>
      </c>
      <c r="V23" s="2">
        <f t="shared" si="38"/>
        <v>188.82945145800011</v>
      </c>
      <c r="W23" s="2">
        <f t="shared" si="38"/>
        <v>399.32203931111985</v>
      </c>
      <c r="X23" s="2">
        <f t="shared" si="38"/>
        <v>578.06470869815053</v>
      </c>
      <c r="Y23" s="2">
        <f t="shared" si="38"/>
        <v>787.99291495915509</v>
      </c>
      <c r="Z23" s="2">
        <f t="shared" si="38"/>
        <v>1033.7169854909978</v>
      </c>
      <c r="AA23" s="2">
        <f>+Z23*(1+$AC$3)</f>
        <v>1054.3913252008178</v>
      </c>
      <c r="AB23" s="2">
        <f t="shared" ref="AB23:CJ23" si="39">+AA23*(1+$AC$3)</f>
        <v>1075.4791517048343</v>
      </c>
      <c r="AC23" s="2">
        <f t="shared" si="39"/>
        <v>1096.988734738931</v>
      </c>
      <c r="AD23" s="2">
        <f t="shared" si="39"/>
        <v>1118.9285094337097</v>
      </c>
      <c r="AE23" s="2">
        <f t="shared" si="39"/>
        <v>1141.307079622384</v>
      </c>
      <c r="AF23" s="2">
        <f t="shared" si="39"/>
        <v>1164.1332212148318</v>
      </c>
      <c r="AG23" s="2">
        <f t="shared" si="39"/>
        <v>1187.4158856391284</v>
      </c>
      <c r="AH23" s="2">
        <f t="shared" si="39"/>
        <v>1211.1642033519111</v>
      </c>
      <c r="AI23" s="2">
        <f t="shared" si="39"/>
        <v>1235.3874874189494</v>
      </c>
      <c r="AJ23" s="2">
        <f t="shared" si="39"/>
        <v>1260.0952371673284</v>
      </c>
      <c r="AK23" s="2">
        <f t="shared" si="39"/>
        <v>1285.297141910675</v>
      </c>
      <c r="AL23" s="2">
        <f t="shared" si="39"/>
        <v>1311.0030847488886</v>
      </c>
      <c r="AM23" s="2">
        <f t="shared" si="39"/>
        <v>1337.2231464438664</v>
      </c>
      <c r="AN23" s="2">
        <f t="shared" si="39"/>
        <v>1363.9676093727437</v>
      </c>
      <c r="AO23" s="2">
        <f t="shared" si="39"/>
        <v>1391.2469615601985</v>
      </c>
      <c r="AP23" s="2">
        <f t="shared" si="39"/>
        <v>1419.0719007914026</v>
      </c>
      <c r="AQ23" s="2">
        <f t="shared" si="39"/>
        <v>1447.4533388072307</v>
      </c>
      <c r="AR23" s="2">
        <f t="shared" si="39"/>
        <v>1476.4024055833754</v>
      </c>
      <c r="AS23" s="2">
        <f t="shared" si="39"/>
        <v>1505.9304536950428</v>
      </c>
      <c r="AT23" s="2">
        <f t="shared" si="39"/>
        <v>1536.0490627689437</v>
      </c>
      <c r="AU23" s="2">
        <f t="shared" si="39"/>
        <v>1566.7700440243227</v>
      </c>
      <c r="AV23" s="2">
        <f t="shared" si="39"/>
        <v>1598.1054449048092</v>
      </c>
      <c r="AW23" s="2">
        <f t="shared" si="39"/>
        <v>1630.0675538029054</v>
      </c>
      <c r="AX23" s="2">
        <f t="shared" si="39"/>
        <v>1662.6689048789635</v>
      </c>
      <c r="AY23" s="2">
        <f t="shared" si="39"/>
        <v>1695.9222829765429</v>
      </c>
      <c r="AZ23" s="2">
        <f t="shared" si="39"/>
        <v>1729.8407286360737</v>
      </c>
      <c r="BA23" s="2">
        <f t="shared" si="39"/>
        <v>1764.4375432087952</v>
      </c>
      <c r="BB23" s="2">
        <f t="shared" si="39"/>
        <v>1799.7262940729711</v>
      </c>
      <c r="BC23" s="2">
        <f t="shared" si="39"/>
        <v>1835.7208199544305</v>
      </c>
      <c r="BD23" s="2">
        <f t="shared" si="39"/>
        <v>1872.435236353519</v>
      </c>
      <c r="BE23" s="2">
        <f t="shared" si="39"/>
        <v>1909.8839410805895</v>
      </c>
      <c r="BF23" s="2">
        <f t="shared" si="39"/>
        <v>1948.0816199022013</v>
      </c>
      <c r="BG23" s="2">
        <f t="shared" si="39"/>
        <v>1987.0432523002453</v>
      </c>
      <c r="BH23" s="2">
        <f t="shared" si="39"/>
        <v>2026.7841173462502</v>
      </c>
      <c r="BI23" s="2">
        <f t="shared" si="39"/>
        <v>2067.3197996931754</v>
      </c>
      <c r="BJ23" s="2">
        <f t="shared" si="39"/>
        <v>2108.6661956870389</v>
      </c>
      <c r="BK23" s="2">
        <f t="shared" si="39"/>
        <v>2150.8395196007796</v>
      </c>
      <c r="BL23" s="2">
        <f t="shared" si="39"/>
        <v>2193.8563099927951</v>
      </c>
      <c r="BM23" s="2">
        <f t="shared" si="39"/>
        <v>2237.733436192651</v>
      </c>
      <c r="BN23" s="2">
        <f t="shared" si="39"/>
        <v>2282.4881049165042</v>
      </c>
      <c r="BO23" s="2">
        <f t="shared" si="39"/>
        <v>2328.1378670148342</v>
      </c>
      <c r="BP23" s="2">
        <f t="shared" si="39"/>
        <v>2374.7006243551309</v>
      </c>
      <c r="BQ23" s="2">
        <f t="shared" si="39"/>
        <v>2422.1946368422336</v>
      </c>
      <c r="BR23" s="2">
        <f t="shared" si="39"/>
        <v>2470.6385295790783</v>
      </c>
      <c r="BS23" s="2">
        <f t="shared" si="39"/>
        <v>2520.0513001706599</v>
      </c>
      <c r="BT23" s="2">
        <f t="shared" si="39"/>
        <v>2570.4523261740733</v>
      </c>
      <c r="BU23" s="2">
        <f t="shared" si="39"/>
        <v>2621.861372697555</v>
      </c>
      <c r="BV23" s="2">
        <f t="shared" si="39"/>
        <v>2674.298600151506</v>
      </c>
      <c r="BW23" s="2">
        <f t="shared" si="39"/>
        <v>2727.7845721545364</v>
      </c>
      <c r="BX23" s="2">
        <f t="shared" si="39"/>
        <v>2782.3402635976272</v>
      </c>
      <c r="BY23" s="2">
        <f t="shared" si="39"/>
        <v>2837.9870688695796</v>
      </c>
      <c r="BZ23" s="2">
        <f t="shared" si="39"/>
        <v>2894.7468102469711</v>
      </c>
      <c r="CA23" s="2">
        <f t="shared" si="39"/>
        <v>2952.6417464519104</v>
      </c>
      <c r="CB23" s="2">
        <f t="shared" si="39"/>
        <v>3011.6945813809489</v>
      </c>
      <c r="CC23" s="2">
        <f t="shared" si="39"/>
        <v>3071.9284730085678</v>
      </c>
      <c r="CD23" s="2">
        <f t="shared" si="39"/>
        <v>3133.3670424687393</v>
      </c>
      <c r="CE23" s="2">
        <f t="shared" si="39"/>
        <v>3196.0343833181141</v>
      </c>
      <c r="CF23" s="2">
        <f t="shared" si="39"/>
        <v>3259.9550709844766</v>
      </c>
      <c r="CG23" s="2">
        <f t="shared" si="39"/>
        <v>3325.1541724041663</v>
      </c>
      <c r="CH23" s="2">
        <f t="shared" si="39"/>
        <v>3391.6572558522498</v>
      </c>
      <c r="CI23" s="2">
        <f t="shared" si="39"/>
        <v>3459.490400969295</v>
      </c>
      <c r="CJ23" s="2">
        <f t="shared" si="39"/>
        <v>3528.680208988681</v>
      </c>
    </row>
    <row r="24" spans="1:88" x14ac:dyDescent="0.2">
      <c r="A24" s="1" t="s">
        <v>41</v>
      </c>
      <c r="B24" s="2">
        <v>215.352</v>
      </c>
      <c r="C24" s="2">
        <v>526.51199999999994</v>
      </c>
      <c r="D24" s="2">
        <v>531.71799999999996</v>
      </c>
      <c r="E24" s="2">
        <v>537.16200000000003</v>
      </c>
      <c r="F24" s="2">
        <v>541.90200000000004</v>
      </c>
      <c r="G24" s="2">
        <v>546.05799999999999</v>
      </c>
      <c r="H24" s="2">
        <v>550.16399999999999</v>
      </c>
      <c r="I24" s="2">
        <v>553.76599999999996</v>
      </c>
      <c r="J24" s="2">
        <v>557.87800000000004</v>
      </c>
      <c r="K24" s="2">
        <v>562.88300000000004</v>
      </c>
      <c r="L24" s="2">
        <v>567.03599999999994</v>
      </c>
      <c r="M24" s="2">
        <v>583.19100000000003</v>
      </c>
      <c r="N24" s="2">
        <v>569.92499999999995</v>
      </c>
      <c r="P24" s="2">
        <v>152.38200000000001</v>
      </c>
      <c r="Q24" s="2">
        <v>168.255</v>
      </c>
      <c r="R24" s="2">
        <v>454.625</v>
      </c>
      <c r="S24" s="2">
        <v>548.02200000000005</v>
      </c>
      <c r="T24" s="2">
        <v>563.85500000000002</v>
      </c>
      <c r="U24" s="2"/>
      <c r="V24" s="2"/>
      <c r="W24" s="2"/>
      <c r="X24" s="2"/>
      <c r="Y24" s="2"/>
      <c r="Z24" s="2"/>
    </row>
    <row r="25" spans="1:88" x14ac:dyDescent="0.2">
      <c r="A25" s="1" t="s">
        <v>42</v>
      </c>
      <c r="B25" s="7">
        <f t="shared" ref="B25" si="40">+B23/B24</f>
        <v>-1.1128895947100561</v>
      </c>
      <c r="C25" s="7">
        <f t="shared" ref="C25" si="41">+C23/C24</f>
        <v>-0.18997857598687204</v>
      </c>
      <c r="D25" s="7">
        <f t="shared" ref="D25" si="42">+D23/D24</f>
        <v>-0.22528295073704485</v>
      </c>
      <c r="E25" s="7">
        <f t="shared" ref="E25" si="43">+E23/E24</f>
        <v>-0.11748783421016375</v>
      </c>
      <c r="F25" s="7">
        <f t="shared" ref="F25" si="44">+F23/F24</f>
        <v>-0.22616820015427136</v>
      </c>
      <c r="G25" s="7">
        <f t="shared" ref="G25" si="45">+G23/G24</f>
        <v>-0.22044910980152294</v>
      </c>
      <c r="H25" s="7">
        <f t="shared" ref="H25" si="46">+H23/H24</f>
        <v>-0.10492144160650277</v>
      </c>
      <c r="I25" s="7">
        <f t="shared" ref="I25" si="47">+I23/I24</f>
        <v>-4.9513693509532934E-2</v>
      </c>
      <c r="J25" s="7">
        <f>+J23/J24</f>
        <v>-5.7182753218445612E-2</v>
      </c>
      <c r="K25" s="7">
        <f t="shared" ref="K25:M25" si="48">+K23/K24</f>
        <v>-0.10723542903232117</v>
      </c>
      <c r="L25" s="7">
        <f t="shared" si="48"/>
        <v>-5.5617280031602961E-2</v>
      </c>
      <c r="M25" s="7">
        <f t="shared" si="48"/>
        <v>5.815590432636996E-2</v>
      </c>
      <c r="N25" s="7">
        <f>+N23/N24</f>
        <v>-5.0420669386322822E-2</v>
      </c>
      <c r="P25" s="7">
        <f t="shared" ref="P25:Z25" si="49">+P23/P24</f>
        <v>-3.4120368547466229</v>
      </c>
      <c r="Q25" s="7">
        <f t="shared" si="49"/>
        <v>-0.54912484027220643</v>
      </c>
      <c r="R25" s="7">
        <f t="shared" si="49"/>
        <v>-1.1560318944184766</v>
      </c>
      <c r="S25" s="7">
        <f t="shared" si="49"/>
        <v>-0.59915842794632335</v>
      </c>
      <c r="T25" s="7">
        <f t="shared" si="49"/>
        <v>-0.15940800383077214</v>
      </c>
      <c r="U25" s="7" t="e">
        <f t="shared" si="49"/>
        <v>#DIV/0!</v>
      </c>
      <c r="V25" s="7" t="e">
        <f t="shared" si="49"/>
        <v>#DIV/0!</v>
      </c>
      <c r="W25" s="7" t="e">
        <f t="shared" si="49"/>
        <v>#DIV/0!</v>
      </c>
      <c r="X25" s="7" t="e">
        <f t="shared" si="49"/>
        <v>#DIV/0!</v>
      </c>
      <c r="Y25" s="7" t="e">
        <f t="shared" si="49"/>
        <v>#DIV/0!</v>
      </c>
      <c r="Z25" s="7" t="e">
        <f t="shared" si="49"/>
        <v>#DIV/0!</v>
      </c>
    </row>
    <row r="27" spans="1:88" x14ac:dyDescent="0.2">
      <c r="A27" s="1" t="s">
        <v>43</v>
      </c>
      <c r="F27" s="6">
        <f t="shared" ref="F27:F29" si="50">+F2/B2-1</f>
        <v>0.16751816077273096</v>
      </c>
      <c r="G27" s="6">
        <f t="shared" ref="G27:G29" si="51">+G2/C2-1</f>
        <v>8.5287868797555122E-2</v>
      </c>
      <c r="H27" s="6">
        <f t="shared" ref="H27:H29" si="52">+H2/D2-1</f>
        <v>5.8839868109812787E-2</v>
      </c>
      <c r="I27" s="6">
        <f t="shared" ref="I27:I29" si="53">+I2/E2-1</f>
        <v>-8.672496208116931E-2</v>
      </c>
      <c r="J27" s="6">
        <f t="shared" ref="J27:J29" si="54">+J2/F2-1</f>
        <v>0.14559331304912626</v>
      </c>
      <c r="K27" s="6">
        <f t="shared" ref="K27:K29" si="55">+K2/G2-1</f>
        <v>0.15047832124672111</v>
      </c>
      <c r="L27" s="6">
        <f t="shared" ref="L27:L29" si="56">+L2/H2-1</f>
        <v>0.25295536280939301</v>
      </c>
      <c r="M27" s="6">
        <f t="shared" ref="M27:M29" si="57">+M2/I2-1</f>
        <v>0.38389290454891456</v>
      </c>
      <c r="N27" s="6">
        <f>+N2/J2-1</f>
        <v>4.5427077193951115E-2</v>
      </c>
      <c r="Q27" s="6">
        <f t="shared" ref="Q27:S27" si="58">+Q2/P2-1</f>
        <v>0.71603487264936927</v>
      </c>
      <c r="R27" s="6">
        <f t="shared" si="58"/>
        <v>0.39126677937202881</v>
      </c>
      <c r="S27" s="6">
        <f t="shared" si="58"/>
        <v>3.4084087514825612E-2</v>
      </c>
      <c r="T27" s="6">
        <f>+T2/S2-1</f>
        <v>0.24818614965571006</v>
      </c>
      <c r="U27" s="6">
        <f t="shared" ref="U27:Z27" si="59">+U2/T2-1</f>
        <v>0.14999999999999991</v>
      </c>
      <c r="V27" s="6">
        <f t="shared" si="59"/>
        <v>0.19999999999999996</v>
      </c>
      <c r="W27" s="6">
        <f t="shared" si="59"/>
        <v>0.19999999999999973</v>
      </c>
      <c r="X27" s="6">
        <f t="shared" si="59"/>
        <v>0.14999999999999991</v>
      </c>
      <c r="Y27" s="6">
        <f t="shared" si="59"/>
        <v>0.14999999999999991</v>
      </c>
      <c r="Z27" s="6">
        <f t="shared" si="59"/>
        <v>0.14999999999999991</v>
      </c>
    </row>
    <row r="28" spans="1:88" x14ac:dyDescent="0.2">
      <c r="A28" s="1" t="s">
        <v>44</v>
      </c>
      <c r="F28" s="6">
        <f t="shared" si="50"/>
        <v>0.4875196414311842</v>
      </c>
      <c r="G28" s="6">
        <f t="shared" si="51"/>
        <v>0.38017471406902215</v>
      </c>
      <c r="H28" s="6">
        <f t="shared" si="52"/>
        <v>0.32865469616079546</v>
      </c>
      <c r="I28" s="6">
        <f t="shared" si="53"/>
        <v>0.33259574959352745</v>
      </c>
      <c r="J28" s="6">
        <f t="shared" si="54"/>
        <v>0.26718271079017097</v>
      </c>
      <c r="K28" s="6">
        <f t="shared" si="55"/>
        <v>0.28352425876010767</v>
      </c>
      <c r="L28" s="6">
        <f t="shared" si="56"/>
        <v>0.28711038038091874</v>
      </c>
      <c r="M28" s="6">
        <f t="shared" si="57"/>
        <v>0.27090402414196402</v>
      </c>
      <c r="N28" s="6">
        <f t="shared" ref="N28:N29" si="60">+N3/J3-1</f>
        <v>0.26497075543894177</v>
      </c>
      <c r="Q28" s="6">
        <f t="shared" ref="Q28:S28" si="61">+Q3/P3-1</f>
        <v>0.94413603986222139</v>
      </c>
      <c r="R28" s="6">
        <f t="shared" si="61"/>
        <v>0.5905384833707461</v>
      </c>
      <c r="S28" s="6">
        <f t="shared" si="61"/>
        <v>0.37569180272908897</v>
      </c>
      <c r="T28" s="6">
        <f t="shared" ref="T28:Z29" si="62">+T3/S3-1</f>
        <v>0.27729682030883041</v>
      </c>
      <c r="U28" s="6">
        <f t="shared" si="62"/>
        <v>0.19999999999999996</v>
      </c>
      <c r="V28" s="6">
        <f t="shared" si="62"/>
        <v>0.16999999999999993</v>
      </c>
      <c r="W28" s="6">
        <f t="shared" si="62"/>
        <v>0.14999999999999991</v>
      </c>
      <c r="X28" s="6">
        <f t="shared" si="62"/>
        <v>0.12000000000000011</v>
      </c>
      <c r="Y28" s="6">
        <f t="shared" si="62"/>
        <v>0.12000000000000011</v>
      </c>
      <c r="Z28" s="6">
        <f t="shared" si="62"/>
        <v>0.12000000000000011</v>
      </c>
    </row>
    <row r="29" spans="1:88" x14ac:dyDescent="0.2">
      <c r="A29" s="1" t="s">
        <v>45</v>
      </c>
      <c r="F29" s="6">
        <f t="shared" si="50"/>
        <v>0.50352913027874147</v>
      </c>
      <c r="G29" s="6">
        <f t="shared" si="51"/>
        <v>0.43656136716727079</v>
      </c>
      <c r="H29" s="6">
        <f t="shared" si="52"/>
        <v>0.28145842596709669</v>
      </c>
      <c r="I29" s="6">
        <f t="shared" si="53"/>
        <v>-5.3423369518762254E-2</v>
      </c>
      <c r="J29" s="6">
        <f t="shared" si="54"/>
        <v>-0.26822087842138764</v>
      </c>
      <c r="K29" s="6">
        <f t="shared" si="55"/>
        <v>-0.42242249459264603</v>
      </c>
      <c r="L29" s="6">
        <f t="shared" si="56"/>
        <v>-0.28355308813324087</v>
      </c>
      <c r="M29" s="6">
        <f t="shared" si="57"/>
        <v>-0.16651616398771896</v>
      </c>
      <c r="N29" s="6">
        <f t="shared" si="60"/>
        <v>7.1327606828313739E-2</v>
      </c>
      <c r="Q29" s="6">
        <f t="shared" ref="Q29:S29" si="63">+Q4/P4-1</f>
        <v>0.95126208378088051</v>
      </c>
      <c r="R29" s="6">
        <f t="shared" si="63"/>
        <v>0.40913782426202427</v>
      </c>
      <c r="S29" s="6">
        <f t="shared" si="63"/>
        <v>0.26768885199472625</v>
      </c>
      <c r="T29" s="6">
        <f t="shared" si="62"/>
        <v>-0.29197642617772812</v>
      </c>
      <c r="U29" s="6">
        <f t="shared" si="62"/>
        <v>3.0000000000000027E-2</v>
      </c>
      <c r="V29" s="6">
        <f t="shared" si="62"/>
        <v>3.0000000000000027E-2</v>
      </c>
      <c r="W29" s="6">
        <f t="shared" si="62"/>
        <v>3.0000000000000027E-2</v>
      </c>
      <c r="X29" s="6">
        <f t="shared" si="62"/>
        <v>3.0000000000000027E-2</v>
      </c>
      <c r="Y29" s="6">
        <f t="shared" si="62"/>
        <v>3.0000000000000027E-2</v>
      </c>
      <c r="Z29" s="6">
        <f t="shared" si="62"/>
        <v>3.0000000000000027E-2</v>
      </c>
    </row>
    <row r="30" spans="1:88" x14ac:dyDescent="0.2">
      <c r="A30" s="1" t="s">
        <v>46</v>
      </c>
      <c r="F30" s="6">
        <f t="shared" ref="F30" si="64">+F6/B6-1</f>
        <v>0.31602377870978482</v>
      </c>
      <c r="G30" s="6">
        <f t="shared" ref="G30" si="65">+G6/C6-1</f>
        <v>0.23885413843014325</v>
      </c>
      <c r="H30" s="6">
        <f t="shared" ref="H30" si="66">+H6/D6-1</f>
        <v>0.18987754510542731</v>
      </c>
      <c r="I30" s="6">
        <f t="shared" ref="I30" si="67">+I6/E6-1</f>
        <v>6.5071212089831576E-2</v>
      </c>
      <c r="J30" s="6">
        <f t="shared" ref="J30" si="68">+J6/F6-1</f>
        <v>0.18167350836101281</v>
      </c>
      <c r="K30" s="6">
        <f t="shared" ref="K30" si="69">+K6/G6-1</f>
        <v>0.18614329003971553</v>
      </c>
      <c r="L30" s="6">
        <f t="shared" ref="L30" si="70">+L6/H6-1</f>
        <v>0.24045078098833828</v>
      </c>
      <c r="M30" s="6">
        <f t="shared" ref="M30" si="71">+M6/I6-1</f>
        <v>0.31341537324703683</v>
      </c>
      <c r="N30" s="6">
        <f>+N6/J6-1</f>
        <v>0.15720264651850235</v>
      </c>
      <c r="Q30" s="6">
        <f t="shared" ref="Q30:S30" si="72">+Q6/P6-1</f>
        <v>0.80762205642618312</v>
      </c>
      <c r="R30" s="6">
        <f t="shared" si="72"/>
        <v>0.46838192820455427</v>
      </c>
      <c r="S30" s="6">
        <f t="shared" si="72"/>
        <v>0.18641482451146074</v>
      </c>
      <c r="T30" s="6">
        <f>+T6/S6-1</f>
        <v>0.23568437370404349</v>
      </c>
      <c r="U30" s="6">
        <f t="shared" ref="U30:Z30" si="73">+U6/T6-1</f>
        <v>0.17147011785283994</v>
      </c>
      <c r="V30" s="6">
        <f t="shared" si="73"/>
        <v>0.18053072851478191</v>
      </c>
      <c r="W30" s="6">
        <f t="shared" si="73"/>
        <v>0.17111432346674582</v>
      </c>
      <c r="X30" s="6">
        <f t="shared" si="73"/>
        <v>0.13286508873706304</v>
      </c>
      <c r="Y30" s="6">
        <f t="shared" si="73"/>
        <v>0.133240442984357</v>
      </c>
      <c r="Z30" s="6">
        <f t="shared" si="73"/>
        <v>0.1336005545676302</v>
      </c>
    </row>
    <row r="32" spans="1:88" x14ac:dyDescent="0.2">
      <c r="A32" s="1" t="s">
        <v>115</v>
      </c>
      <c r="Q32" s="5">
        <f t="shared" ref="Q32:S32" si="74">+Q14/P14-1</f>
        <v>-0.21349184018007883</v>
      </c>
      <c r="R32" s="5">
        <f t="shared" si="74"/>
        <v>0.83519573646469603</v>
      </c>
      <c r="S32" s="5">
        <f t="shared" si="74"/>
        <v>5.5915729362709943E-3</v>
      </c>
      <c r="T32" s="5">
        <f>+T14/S14-1</f>
        <v>1.6494716046285607E-2</v>
      </c>
      <c r="U32" s="5">
        <f t="shared" ref="U32:Z32" si="75">+U14/T14-1</f>
        <v>2.0000000000000018E-2</v>
      </c>
      <c r="V32" s="5">
        <f t="shared" si="75"/>
        <v>2.0000000000000018E-2</v>
      </c>
      <c r="W32" s="5">
        <f t="shared" si="75"/>
        <v>2.0000000000000018E-2</v>
      </c>
      <c r="X32" s="5">
        <f t="shared" si="75"/>
        <v>2.0000000000000018E-2</v>
      </c>
      <c r="Y32" s="5">
        <f t="shared" si="75"/>
        <v>2.0000000000000018E-2</v>
      </c>
      <c r="Z32" s="5">
        <f t="shared" si="75"/>
        <v>2.0000000000000018E-2</v>
      </c>
    </row>
    <row r="33" spans="1:26" x14ac:dyDescent="0.2">
      <c r="A33" s="1" t="s">
        <v>116</v>
      </c>
      <c r="Q33" s="5">
        <f t="shared" ref="Q33:T33" si="76">+Q15/P15-1</f>
        <v>-0.16133856225107956</v>
      </c>
      <c r="R33" s="5">
        <f t="shared" si="76"/>
        <v>1.5168941048034932</v>
      </c>
      <c r="S33" s="5">
        <f t="shared" si="76"/>
        <v>3.2867413439746862E-2</v>
      </c>
      <c r="T33" s="5">
        <f t="shared" si="76"/>
        <v>0.16220822397200352</v>
      </c>
      <c r="U33" s="5">
        <f t="shared" ref="U33:Z33" si="77">+U15/T15-1</f>
        <v>0.15354008268568897</v>
      </c>
      <c r="V33" s="5">
        <f t="shared" si="77"/>
        <v>0.13330949937419057</v>
      </c>
      <c r="W33" s="5">
        <f t="shared" si="77"/>
        <v>0.12231789332229814</v>
      </c>
      <c r="X33" s="5">
        <f t="shared" si="77"/>
        <v>0.13286508873706304</v>
      </c>
      <c r="Y33" s="5">
        <f t="shared" si="77"/>
        <v>0.13324044298435678</v>
      </c>
      <c r="Z33" s="5">
        <f t="shared" si="77"/>
        <v>0.1336005545676302</v>
      </c>
    </row>
    <row r="34" spans="1:26" x14ac:dyDescent="0.2">
      <c r="A34" s="1" t="s">
        <v>117</v>
      </c>
      <c r="Q34" s="5">
        <f t="shared" ref="Q34:T34" si="78">+Q16/P16-1</f>
        <v>-9.7921213200908519E-2</v>
      </c>
      <c r="R34" s="5">
        <f t="shared" si="78"/>
        <v>0.54282099546394313</v>
      </c>
      <c r="S34" s="5">
        <f t="shared" si="78"/>
        <v>-4.1945510038361444E-2</v>
      </c>
      <c r="T34" s="5">
        <f t="shared" si="78"/>
        <v>-3.2851088703784836E-2</v>
      </c>
      <c r="U34" s="5">
        <f t="shared" ref="U34:Z34" si="79">+U16/T16-1</f>
        <v>-2.0000000000000018E-2</v>
      </c>
      <c r="V34" s="5">
        <f t="shared" si="79"/>
        <v>3.0000000000000027E-2</v>
      </c>
      <c r="W34" s="5">
        <f t="shared" si="79"/>
        <v>3.0000000000000027E-2</v>
      </c>
      <c r="X34" s="5">
        <f t="shared" si="79"/>
        <v>3.0000000000000027E-2</v>
      </c>
      <c r="Y34" s="5">
        <f t="shared" si="79"/>
        <v>3.0000000000000027E-2</v>
      </c>
      <c r="Z34" s="5">
        <f t="shared" si="79"/>
        <v>3.0000000000000027E-2</v>
      </c>
    </row>
    <row r="36" spans="1:26" x14ac:dyDescent="0.2">
      <c r="A36" s="1" t="s">
        <v>81</v>
      </c>
      <c r="B36" s="6">
        <f t="shared" ref="B36:F36" si="80">+B10/B2</f>
        <v>0.97551289215294967</v>
      </c>
      <c r="C36" s="6">
        <f t="shared" si="80"/>
        <v>0.97452562613164206</v>
      </c>
      <c r="D36" s="6">
        <f t="shared" si="80"/>
        <v>0.97647122070102499</v>
      </c>
      <c r="E36" s="6">
        <f t="shared" si="80"/>
        <v>0.97487015673116706</v>
      </c>
      <c r="F36" s="6">
        <f t="shared" si="80"/>
        <v>0.97831698061604722</v>
      </c>
      <c r="G36" s="6">
        <f>+G10/G2</f>
        <v>0.9790734454559481</v>
      </c>
      <c r="H36" s="6">
        <f t="shared" ref="H36" si="81">+H10/H2</f>
        <v>0.97285381848952823</v>
      </c>
      <c r="I36" s="6">
        <f t="shared" ref="I36:L37" si="82">+I10/I2</f>
        <v>0.9842351268550148</v>
      </c>
      <c r="J36" s="6">
        <f t="shared" si="82"/>
        <v>0.98099806772655718</v>
      </c>
      <c r="K36" s="6">
        <f t="shared" si="82"/>
        <v>0.97478625314333611</v>
      </c>
      <c r="L36" s="6">
        <f t="shared" si="82"/>
        <v>0.98121808898614149</v>
      </c>
      <c r="M36" s="6">
        <f t="shared" ref="M36" si="83">+M10/M2</f>
        <v>0.99030388435575145</v>
      </c>
      <c r="N36" s="6">
        <f>+N10/N2</f>
        <v>0.98143839917789455</v>
      </c>
      <c r="P36" s="6">
        <f t="shared" ref="P36:R36" si="84">+P10/P2</f>
        <v>0.98135364595731178</v>
      </c>
      <c r="Q36" s="6">
        <f t="shared" si="84"/>
        <v>0.97961477885185033</v>
      </c>
      <c r="R36" s="6">
        <f t="shared" si="84"/>
        <v>0.97530674432468478</v>
      </c>
      <c r="S36" s="6">
        <f t="shared" ref="S36:T36" si="85">+S10/S2</f>
        <v>0.97906740372331447</v>
      </c>
      <c r="T36" s="6">
        <f t="shared" si="85"/>
        <v>0.98315234183896794</v>
      </c>
      <c r="U36" s="6">
        <f t="shared" ref="U36:Z36" si="86">+U10/U2</f>
        <v>0.98</v>
      </c>
      <c r="V36" s="6">
        <f t="shared" si="86"/>
        <v>0.98</v>
      </c>
      <c r="W36" s="6">
        <f t="shared" si="86"/>
        <v>0.98</v>
      </c>
      <c r="X36" s="6">
        <f t="shared" si="86"/>
        <v>0.98</v>
      </c>
      <c r="Y36" s="6">
        <f t="shared" si="86"/>
        <v>0.98</v>
      </c>
      <c r="Z36" s="6">
        <f t="shared" si="86"/>
        <v>0.98000000000000009</v>
      </c>
    </row>
    <row r="37" spans="1:26" x14ac:dyDescent="0.2">
      <c r="A37" s="1" t="s">
        <v>82</v>
      </c>
      <c r="B37" s="6">
        <f t="shared" ref="B37:F38" si="87">+B11/B3</f>
        <v>0.81737976868189899</v>
      </c>
      <c r="C37" s="6">
        <f t="shared" si="87"/>
        <v>0.86450248563425192</v>
      </c>
      <c r="D37" s="6">
        <f t="shared" si="87"/>
        <v>0.84015393566958951</v>
      </c>
      <c r="E37" s="6">
        <f t="shared" si="87"/>
        <v>0.82212366393119296</v>
      </c>
      <c r="F37" s="6">
        <f t="shared" si="87"/>
        <v>0.81778274196062128</v>
      </c>
      <c r="G37" s="6">
        <f>+G11/G3</f>
        <v>0.82089911436272633</v>
      </c>
      <c r="H37" s="6">
        <f t="shared" ref="H37" si="88">+H11/H3</f>
        <v>0.8419010594734132</v>
      </c>
      <c r="I37" s="6">
        <f t="shared" si="82"/>
        <v>0.83289053814054903</v>
      </c>
      <c r="J37" s="6">
        <f t="shared" si="82"/>
        <v>0.84231168689187708</v>
      </c>
      <c r="K37" s="6">
        <f t="shared" si="82"/>
        <v>0.83264270401689999</v>
      </c>
      <c r="L37" s="6">
        <f t="shared" si="82"/>
        <v>0.82900273982414985</v>
      </c>
      <c r="M37" s="6">
        <f t="shared" ref="M37" si="89">+M11/M3</f>
        <v>0.81015462570581342</v>
      </c>
      <c r="N37" s="6">
        <f>+N11/N3</f>
        <v>0.80147031021276827</v>
      </c>
      <c r="P37" s="6">
        <f t="shared" ref="P37:R37" si="90">+P11/P3</f>
        <v>0.86202889342206468</v>
      </c>
      <c r="Q37" s="6">
        <f t="shared" si="90"/>
        <v>0.89586827325816409</v>
      </c>
      <c r="R37" s="6">
        <f t="shared" si="90"/>
        <v>0.83625195002527941</v>
      </c>
      <c r="S37" s="6">
        <f t="shared" ref="S37:T38" si="91">+S11/S3</f>
        <v>0.82829785603245143</v>
      </c>
      <c r="T37" s="6">
        <f t="shared" si="91"/>
        <v>0.82779058281198548</v>
      </c>
      <c r="U37" s="6">
        <f t="shared" ref="U37:Z37" si="92">+U11/U3</f>
        <v>0.82799999999999996</v>
      </c>
      <c r="V37" s="6">
        <f t="shared" si="92"/>
        <v>0.82800000000000007</v>
      </c>
      <c r="W37" s="6">
        <f t="shared" si="92"/>
        <v>0.82799999999999996</v>
      </c>
      <c r="X37" s="6">
        <f t="shared" si="92"/>
        <v>0.82800000000000007</v>
      </c>
      <c r="Y37" s="6">
        <f t="shared" si="92"/>
        <v>0.82800000000000007</v>
      </c>
      <c r="Z37" s="6">
        <f t="shared" si="92"/>
        <v>0.82799999999999996</v>
      </c>
    </row>
    <row r="38" spans="1:26" x14ac:dyDescent="0.2">
      <c r="A38" s="1" t="s">
        <v>83</v>
      </c>
      <c r="B38" s="6">
        <f t="shared" si="87"/>
        <v>-2.8733102045699246</v>
      </c>
      <c r="C38" s="6">
        <f t="shared" si="87"/>
        <v>-1.1669601242879339</v>
      </c>
      <c r="D38" s="6">
        <f t="shared" si="87"/>
        <v>-0.93997332147621193</v>
      </c>
      <c r="E38" s="6">
        <f t="shared" si="87"/>
        <v>-0.56432173690058962</v>
      </c>
      <c r="F38" s="6">
        <f t="shared" si="87"/>
        <v>-0.70544239338001291</v>
      </c>
      <c r="G38" s="6">
        <f t="shared" ref="G38" si="93">+G12/G4</f>
        <v>-0.44772891131939435</v>
      </c>
      <c r="H38" s="6">
        <f t="shared" ref="H38" si="94">+H12/H4</f>
        <v>-0.31727966689798742</v>
      </c>
      <c r="I38" s="6">
        <f t="shared" ref="I38:J38" si="95">+I12/I4</f>
        <v>-0.96568538919992786</v>
      </c>
      <c r="J38" s="6">
        <f t="shared" si="95"/>
        <v>-0.96172664999456381</v>
      </c>
      <c r="K38" s="6">
        <f t="shared" ref="K38" si="96">+K12/K4</f>
        <v>-1.3969541879915122</v>
      </c>
      <c r="L38" s="6">
        <f t="shared" ref="L38" si="97">+L12/L4</f>
        <v>-0.79116621464548631</v>
      </c>
      <c r="M38" s="6">
        <f t="shared" ref="M38:N38" si="98">+M12/M4</f>
        <v>-0.92816901408450703</v>
      </c>
      <c r="N38" s="6">
        <f t="shared" si="98"/>
        <v>-0.6208261443215265</v>
      </c>
      <c r="P38" s="6">
        <f t="shared" ref="P38:R38" si="99">+P12/P4</f>
        <v>-1.6276852846401719</v>
      </c>
      <c r="Q38" s="6">
        <f t="shared" si="99"/>
        <v>-0.18998142159223844</v>
      </c>
      <c r="R38" s="6">
        <f t="shared" si="99"/>
        <v>-1.3539967771863863</v>
      </c>
      <c r="S38" s="6">
        <f t="shared" si="91"/>
        <v>-0.58437656484727096</v>
      </c>
      <c r="T38" s="6">
        <f t="shared" si="91"/>
        <v>-1.0002448180186061</v>
      </c>
      <c r="U38" s="6">
        <f t="shared" ref="U38:Z38" si="100">+U12/U4</f>
        <v>-1.0002448180186061</v>
      </c>
      <c r="V38" s="6">
        <f t="shared" si="100"/>
        <v>-1.0002448180186063</v>
      </c>
      <c r="W38" s="6">
        <f t="shared" si="100"/>
        <v>-1.0002448180186065</v>
      </c>
      <c r="X38" s="6">
        <f t="shared" si="100"/>
        <v>-1.0002448180186063</v>
      </c>
      <c r="Y38" s="6">
        <f t="shared" si="100"/>
        <v>-1.0002448180186065</v>
      </c>
      <c r="Z38" s="6">
        <f t="shared" si="100"/>
        <v>-1.0002448180186065</v>
      </c>
    </row>
    <row r="39" spans="1:26" x14ac:dyDescent="0.2">
      <c r="A39" s="1" t="s">
        <v>91</v>
      </c>
      <c r="B39" s="6">
        <f t="shared" ref="B39:F39" si="101">+B13/B6</f>
        <v>0.73681242851082329</v>
      </c>
      <c r="C39" s="6">
        <f t="shared" si="101"/>
        <v>0.81795305875072255</v>
      </c>
      <c r="D39" s="6">
        <f t="shared" si="101"/>
        <v>0.81840084051880302</v>
      </c>
      <c r="E39" s="6">
        <f t="shared" si="101"/>
        <v>0.85790719991163211</v>
      </c>
      <c r="F39" s="6">
        <f t="shared" si="101"/>
        <v>0.81631070813576745</v>
      </c>
      <c r="G39" s="6">
        <f>+G13/G6</f>
        <v>0.81597047336740669</v>
      </c>
      <c r="H39" s="6">
        <f t="shared" ref="H39" si="102">+H13/H6</f>
        <v>0.83722558840544403</v>
      </c>
      <c r="I39" s="6">
        <f>+I13/I6</f>
        <v>0.8463096623226779</v>
      </c>
      <c r="J39" s="6">
        <f>+J13/J6</f>
        <v>0.84920991201292884</v>
      </c>
      <c r="K39" s="6">
        <f>+K13/K6</f>
        <v>0.82949775503811207</v>
      </c>
      <c r="L39" s="6">
        <f>+L13/L6</f>
        <v>0.84683404874187296</v>
      </c>
      <c r="M39" s="6">
        <f t="shared" ref="M39" si="103">+M13/M6</f>
        <v>0.86835384315476993</v>
      </c>
      <c r="N39" s="6">
        <f>+N13/N6</f>
        <v>0.83490594189405321</v>
      </c>
      <c r="P39" s="6">
        <f t="shared" ref="P39:R39" si="104">+P13/P6</f>
        <v>0.82328145265888464</v>
      </c>
      <c r="Q39" s="6">
        <f t="shared" si="104"/>
        <v>0.8916189275610843</v>
      </c>
      <c r="R39" s="6">
        <f t="shared" si="104"/>
        <v>0.81073956684882753</v>
      </c>
      <c r="S39" s="6">
        <f t="shared" ref="S39:T39" si="105">+S13/S6</f>
        <v>0.82991287393217916</v>
      </c>
      <c r="T39" s="6">
        <f t="shared" si="105"/>
        <v>0.85021925398601916</v>
      </c>
      <c r="U39" s="6">
        <f t="shared" ref="U39:Z39" si="106">+U13/U6</f>
        <v>0.85370734088902434</v>
      </c>
      <c r="V39" s="6">
        <f t="shared" si="106"/>
        <v>0.86063678727536397</v>
      </c>
      <c r="W39" s="6">
        <f t="shared" si="106"/>
        <v>0.86716337635490071</v>
      </c>
      <c r="X39" s="6">
        <f t="shared" si="106"/>
        <v>0.87142778515162211</v>
      </c>
      <c r="Y39" s="6">
        <f t="shared" si="106"/>
        <v>0.87540756141547527</v>
      </c>
      <c r="Z39" s="6">
        <f t="shared" si="106"/>
        <v>0.87912589376893413</v>
      </c>
    </row>
    <row r="40" spans="1:26" x14ac:dyDescent="0.2">
      <c r="A40" s="1" t="s">
        <v>84</v>
      </c>
      <c r="B40" s="6">
        <f t="shared" ref="B40:F40" si="107">+B18/B6</f>
        <v>-1.2673332724724382</v>
      </c>
      <c r="C40" s="6">
        <f t="shared" si="107"/>
        <v>-0.50030942967763037</v>
      </c>
      <c r="D40" s="6">
        <f t="shared" si="107"/>
        <v>-0.51285685819868132</v>
      </c>
      <c r="E40" s="6">
        <f t="shared" si="107"/>
        <v>-0.17562772266291099</v>
      </c>
      <c r="F40" s="6">
        <f t="shared" si="107"/>
        <v>-0.47314600964638087</v>
      </c>
      <c r="G40" s="6">
        <f>+G18/G6</f>
        <v>-0.49621008826613605</v>
      </c>
      <c r="H40" s="6">
        <f t="shared" ref="H40" si="108">+H18/H6</f>
        <v>-0.25496681180160147</v>
      </c>
      <c r="I40" s="6">
        <f>+I18/I6</f>
        <v>-0.14544529394034661</v>
      </c>
      <c r="J40" s="6">
        <f>+J18/J6</f>
        <v>-0.16026561874110809</v>
      </c>
      <c r="K40" s="6">
        <f>+K18/K6</f>
        <v>-0.27003933034005095</v>
      </c>
      <c r="L40" s="6">
        <f>+L18/L6</f>
        <v>-0.17126542935251185</v>
      </c>
      <c r="M40" s="6">
        <f t="shared" ref="M40" si="109">+M18/M6</f>
        <v>3.7248336224531407E-2</v>
      </c>
      <c r="N40" s="6">
        <f>+N18/N6</f>
        <v>-0.14760736708921204</v>
      </c>
      <c r="P40" s="6">
        <f t="shared" ref="P40:R40" si="110">+P18/P6</f>
        <v>-1.5388182867478191</v>
      </c>
      <c r="Q40" s="6">
        <f t="shared" si="110"/>
        <v>-0.18155890876715455</v>
      </c>
      <c r="R40" s="6">
        <f t="shared" si="110"/>
        <v>-0.56141202261244572</v>
      </c>
      <c r="S40" s="6">
        <f t="shared" ref="S40:T40" si="111">+S18/S6</f>
        <v>-0.3290093058537798</v>
      </c>
      <c r="T40" s="6">
        <f t="shared" si="111"/>
        <v>-0.1259257900176749</v>
      </c>
      <c r="U40" s="6">
        <f t="shared" ref="U40:Z40" si="112">+U18/U6</f>
        <v>-1.9117803521852626E-2</v>
      </c>
      <c r="V40" s="6">
        <f t="shared" si="112"/>
        <v>8.1249689731790808E-2</v>
      </c>
      <c r="W40" s="6">
        <f t="shared" si="112"/>
        <v>0.16627225155929082</v>
      </c>
      <c r="X40" s="6">
        <f t="shared" si="112"/>
        <v>0.2164471650808511</v>
      </c>
      <c r="Y40" s="6">
        <f t="shared" si="112"/>
        <v>0.26198162834328592</v>
      </c>
      <c r="Z40" s="6">
        <f t="shared" si="112"/>
        <v>0.30329522684580645</v>
      </c>
    </row>
    <row r="41" spans="1:26" x14ac:dyDescent="0.2">
      <c r="P41" s="6"/>
    </row>
    <row r="42" spans="1:26" x14ac:dyDescent="0.2">
      <c r="A42" s="1" t="s">
        <v>94</v>
      </c>
      <c r="D42" s="2">
        <v>-32.630000000000003</v>
      </c>
      <c r="E42" s="2">
        <v>91.76</v>
      </c>
      <c r="F42" s="2">
        <v>65.47</v>
      </c>
      <c r="H42" s="2">
        <v>-32.630000000000003</v>
      </c>
      <c r="I42" s="2">
        <v>91.76</v>
      </c>
      <c r="J42" s="2">
        <v>65.47</v>
      </c>
      <c r="K42" s="2">
        <v>43.28</v>
      </c>
      <c r="L42" s="2">
        <v>41.17</v>
      </c>
      <c r="M42" s="2">
        <v>141.82</v>
      </c>
      <c r="N42" s="2">
        <f>+N64+N68</f>
        <v>98.79899999999995</v>
      </c>
      <c r="P42" s="2">
        <f>-359.436-15.748</f>
        <v>-375.18399999999997</v>
      </c>
      <c r="Q42" s="2">
        <f>29.177-1.953</f>
        <v>27.224</v>
      </c>
      <c r="R42" s="2">
        <f>-54.963-8.879</f>
        <v>-63.841999999999999</v>
      </c>
      <c r="S42" s="2">
        <f>-9.981-23.815</f>
        <v>-33.795999999999999</v>
      </c>
      <c r="T42" s="2">
        <f>+T64+T68</f>
        <v>291.74</v>
      </c>
    </row>
    <row r="43" spans="1:26" x14ac:dyDescent="0.2">
      <c r="A43" s="8" t="s">
        <v>114</v>
      </c>
      <c r="K43" s="2">
        <f>+SUM(H42:K42)</f>
        <v>167.88</v>
      </c>
      <c r="L43" s="2">
        <f t="shared" ref="L43:N43" si="113">+SUM(I42:L42)</f>
        <v>241.68</v>
      </c>
      <c r="M43" s="2">
        <f t="shared" si="113"/>
        <v>291.74</v>
      </c>
      <c r="N43" s="2">
        <f t="shared" si="113"/>
        <v>325.06899999999996</v>
      </c>
    </row>
    <row r="46" spans="1:26" x14ac:dyDescent="0.2">
      <c r="A46" s="1" t="s">
        <v>40</v>
      </c>
      <c r="B46" s="2">
        <f t="shared" ref="B46:N46" si="114">+B23</f>
        <v>-239.66300000000001</v>
      </c>
      <c r="C46" s="2">
        <f t="shared" si="114"/>
        <v>-100.02599999999995</v>
      </c>
      <c r="D46" s="2">
        <f t="shared" si="114"/>
        <v>-119.78700000000001</v>
      </c>
      <c r="E46" s="2">
        <f t="shared" si="114"/>
        <v>-63.109999999999985</v>
      </c>
      <c r="F46" s="2">
        <f t="shared" si="114"/>
        <v>-122.56099999999996</v>
      </c>
      <c r="G46" s="2">
        <f t="shared" si="114"/>
        <v>-120.37800000000001</v>
      </c>
      <c r="H46" s="2">
        <f t="shared" si="114"/>
        <v>-57.72399999999999</v>
      </c>
      <c r="I46" s="2">
        <f t="shared" si="114"/>
        <v>-27.419000000000011</v>
      </c>
      <c r="J46" s="2">
        <f t="shared" si="114"/>
        <v>-31.901000000000003</v>
      </c>
      <c r="K46" s="2">
        <f t="shared" si="114"/>
        <v>-60.36100000000004</v>
      </c>
      <c r="L46" s="2">
        <f t="shared" si="114"/>
        <v>-31.537000000000013</v>
      </c>
      <c r="M46" s="2">
        <f t="shared" si="114"/>
        <v>33.916000000000025</v>
      </c>
      <c r="N46" s="2">
        <f t="shared" si="114"/>
        <v>-28.736000000000033</v>
      </c>
      <c r="S46" s="2">
        <f>+S23</f>
        <v>-328.35200000000003</v>
      </c>
      <c r="T46" s="2">
        <f>+T23</f>
        <v>-89.883000000000024</v>
      </c>
    </row>
    <row r="47" spans="1:26" x14ac:dyDescent="0.2">
      <c r="A47" s="1" t="s">
        <v>47</v>
      </c>
      <c r="J47" s="2">
        <v>5.6159999999999997</v>
      </c>
      <c r="N47" s="2">
        <v>4.9020000000000001</v>
      </c>
      <c r="S47" s="2"/>
      <c r="T47" s="2">
        <v>22.597000000000001</v>
      </c>
    </row>
    <row r="48" spans="1:26" x14ac:dyDescent="0.2">
      <c r="A48" s="1" t="s">
        <v>48</v>
      </c>
      <c r="J48" s="2">
        <v>14.071999999999999</v>
      </c>
      <c r="N48" s="2">
        <v>18.466999999999999</v>
      </c>
      <c r="S48" s="2"/>
      <c r="T48" s="2">
        <v>75.471000000000004</v>
      </c>
    </row>
    <row r="49" spans="1:20" x14ac:dyDescent="0.2">
      <c r="A49" s="1" t="s">
        <v>49</v>
      </c>
      <c r="J49" s="2">
        <v>-4.0970000000000004</v>
      </c>
      <c r="N49" s="2">
        <v>-9.2680000000000007</v>
      </c>
      <c r="S49" s="2"/>
      <c r="T49" s="2">
        <v>-28.245999999999999</v>
      </c>
    </row>
    <row r="50" spans="1:20" x14ac:dyDescent="0.2">
      <c r="A50" s="1" t="s">
        <v>50</v>
      </c>
      <c r="J50" s="2">
        <v>85.048000000000002</v>
      </c>
      <c r="N50" s="2">
        <v>88.727000000000004</v>
      </c>
      <c r="S50" s="2"/>
      <c r="T50" s="2">
        <v>371.95499999999998</v>
      </c>
    </row>
    <row r="51" spans="1:20" x14ac:dyDescent="0.2">
      <c r="A51" s="1" t="s">
        <v>51</v>
      </c>
      <c r="J51" s="2">
        <v>4.2149999999999999</v>
      </c>
      <c r="N51" s="2">
        <v>6.5640000000000001</v>
      </c>
      <c r="S51" s="2"/>
      <c r="T51" s="2">
        <v>4.2149999999999999</v>
      </c>
    </row>
    <row r="52" spans="1:20" x14ac:dyDescent="0.2">
      <c r="A52" s="1" t="s">
        <v>52</v>
      </c>
      <c r="J52" s="2">
        <v>3.0710000000000002</v>
      </c>
      <c r="N52" s="2">
        <v>3.476</v>
      </c>
      <c r="S52" s="2"/>
      <c r="T52" s="2">
        <v>13.047000000000001</v>
      </c>
    </row>
    <row r="53" spans="1:20" x14ac:dyDescent="0.2">
      <c r="A53" s="1" t="s">
        <v>53</v>
      </c>
      <c r="J53" s="2">
        <v>-0.26700000000000002</v>
      </c>
      <c r="N53" s="2">
        <v>0.56899999999999995</v>
      </c>
      <c r="S53" s="2"/>
      <c r="T53" s="2">
        <v>0.55400000000000005</v>
      </c>
    </row>
    <row r="54" spans="1:20" x14ac:dyDescent="0.2">
      <c r="A54" s="1" t="s">
        <v>54</v>
      </c>
      <c r="J54" s="2">
        <v>0.624</v>
      </c>
      <c r="N54" s="2">
        <v>-0.96599999999999997</v>
      </c>
      <c r="S54" s="2"/>
      <c r="T54" s="2">
        <v>-3.7</v>
      </c>
    </row>
    <row r="55" spans="1:20" x14ac:dyDescent="0.2">
      <c r="A55" s="1" t="s">
        <v>55</v>
      </c>
      <c r="J55" s="2">
        <v>141.55699999999999</v>
      </c>
      <c r="N55" s="2">
        <v>162.44399999999999</v>
      </c>
      <c r="S55" s="2"/>
      <c r="T55" s="2">
        <v>-64.216999999999999</v>
      </c>
    </row>
    <row r="56" spans="1:20" x14ac:dyDescent="0.2">
      <c r="A56" s="1" t="s">
        <v>56</v>
      </c>
      <c r="J56" s="2">
        <v>0.66</v>
      </c>
      <c r="N56" s="2">
        <v>-7.6449999999999996</v>
      </c>
      <c r="S56" s="2"/>
      <c r="T56" s="2">
        <v>-14.694000000000001</v>
      </c>
    </row>
    <row r="57" spans="1:20" x14ac:dyDescent="0.2">
      <c r="A57" s="1" t="s">
        <v>48</v>
      </c>
      <c r="J57" s="2">
        <v>-15.499000000000001</v>
      </c>
      <c r="N57" s="2">
        <v>-12.436999999999999</v>
      </c>
      <c r="S57" s="2"/>
      <c r="T57" s="2">
        <v>-118.833</v>
      </c>
    </row>
    <row r="58" spans="1:20" x14ac:dyDescent="0.2">
      <c r="A58" s="1" t="s">
        <v>57</v>
      </c>
      <c r="J58" s="2">
        <v>-5.86</v>
      </c>
      <c r="N58" s="2">
        <v>-0.80300000000000005</v>
      </c>
      <c r="S58" s="2"/>
      <c r="T58" s="2">
        <v>4.2220000000000004</v>
      </c>
    </row>
    <row r="59" spans="1:20" x14ac:dyDescent="0.2">
      <c r="A59" s="1" t="s">
        <v>74</v>
      </c>
      <c r="J59" s="2">
        <v>-2.13</v>
      </c>
      <c r="N59" s="2">
        <v>3.9359999999999999</v>
      </c>
      <c r="S59" s="2"/>
      <c r="T59" s="2">
        <v>-5.0519999999999996</v>
      </c>
    </row>
    <row r="60" spans="1:20" x14ac:dyDescent="0.2">
      <c r="A60" s="1" t="s">
        <v>75</v>
      </c>
      <c r="J60" s="2">
        <v>-10.547000000000001</v>
      </c>
      <c r="N60" s="2">
        <v>-4.1950000000000003</v>
      </c>
      <c r="S60" s="2"/>
      <c r="T60" s="2">
        <v>11.804</v>
      </c>
    </row>
    <row r="61" spans="1:20" x14ac:dyDescent="0.2">
      <c r="A61" s="1" t="s">
        <v>58</v>
      </c>
      <c r="J61" s="2">
        <v>-93.39</v>
      </c>
      <c r="N61" s="2">
        <v>-96.403000000000006</v>
      </c>
      <c r="S61" s="2"/>
      <c r="T61" s="2">
        <v>-4.0389999999999997</v>
      </c>
    </row>
    <row r="62" spans="1:20" x14ac:dyDescent="0.2">
      <c r="A62" s="1" t="s">
        <v>59</v>
      </c>
      <c r="J62" s="2">
        <v>-2.9460000000000002</v>
      </c>
      <c r="N62" s="2">
        <v>-3.9119999999999999</v>
      </c>
      <c r="S62" s="2"/>
      <c r="T62" s="2">
        <v>-13.59</v>
      </c>
    </row>
    <row r="63" spans="1:20" x14ac:dyDescent="0.2">
      <c r="A63" s="1" t="s">
        <v>60</v>
      </c>
      <c r="J63" s="2">
        <v>-20.885000000000002</v>
      </c>
      <c r="N63" s="2">
        <v>-24.683</v>
      </c>
      <c r="S63" s="2"/>
      <c r="T63" s="2">
        <v>137.471</v>
      </c>
    </row>
    <row r="64" spans="1:20" x14ac:dyDescent="0.2">
      <c r="A64" s="1" t="s">
        <v>61</v>
      </c>
      <c r="B64" s="2">
        <f t="shared" ref="B64:M64" si="115">+SUM(B46:B63)</f>
        <v>-239.66300000000001</v>
      </c>
      <c r="C64" s="2">
        <f t="shared" si="115"/>
        <v>-100.02599999999995</v>
      </c>
      <c r="D64" s="2">
        <f t="shared" si="115"/>
        <v>-119.78700000000001</v>
      </c>
      <c r="E64" s="2">
        <f t="shared" si="115"/>
        <v>-63.109999999999985</v>
      </c>
      <c r="F64" s="2">
        <f t="shared" si="115"/>
        <v>-122.56099999999996</v>
      </c>
      <c r="G64" s="2">
        <f t="shared" si="115"/>
        <v>-120.37800000000001</v>
      </c>
      <c r="H64" s="2">
        <f t="shared" si="115"/>
        <v>-57.72399999999999</v>
      </c>
      <c r="I64" s="2">
        <f t="shared" si="115"/>
        <v>-27.419000000000011</v>
      </c>
      <c r="J64" s="2">
        <f t="shared" si="115"/>
        <v>67.34099999999998</v>
      </c>
      <c r="K64" s="2">
        <f t="shared" si="115"/>
        <v>-60.36100000000004</v>
      </c>
      <c r="L64" s="2">
        <f t="shared" si="115"/>
        <v>-31.537000000000013</v>
      </c>
      <c r="M64" s="2">
        <f t="shared" si="115"/>
        <v>33.916000000000025</v>
      </c>
      <c r="N64" s="2">
        <f>+SUM(N46:N63)</f>
        <v>100.03699999999995</v>
      </c>
      <c r="S64" s="2"/>
      <c r="T64" s="2">
        <f t="shared" ref="T64" si="116">+SUM(T46:T63)</f>
        <v>299.08199999999999</v>
      </c>
    </row>
    <row r="65" spans="1:20" x14ac:dyDescent="0.2">
      <c r="T65" s="2"/>
    </row>
    <row r="66" spans="1:20" x14ac:dyDescent="0.2">
      <c r="A66" s="1" t="s">
        <v>62</v>
      </c>
      <c r="J66" s="2">
        <v>-215.39099999999999</v>
      </c>
      <c r="N66" s="2">
        <v>-323.137</v>
      </c>
      <c r="T66" s="2">
        <v>-1485.9649999999999</v>
      </c>
    </row>
    <row r="67" spans="1:20" x14ac:dyDescent="0.2">
      <c r="A67" s="1" t="s">
        <v>63</v>
      </c>
      <c r="J67" s="2">
        <v>78.954999999999998</v>
      </c>
      <c r="N67" s="2">
        <v>360.14100000000002</v>
      </c>
      <c r="T67" s="2">
        <v>1050.9839999999999</v>
      </c>
    </row>
    <row r="68" spans="1:20" x14ac:dyDescent="0.2">
      <c r="A68" s="1" t="s">
        <v>64</v>
      </c>
      <c r="J68" s="2">
        <v>-1.87</v>
      </c>
      <c r="N68" s="2">
        <v>-1.238</v>
      </c>
      <c r="T68" s="2">
        <v>-7.3419999999999996</v>
      </c>
    </row>
    <row r="69" spans="1:20" x14ac:dyDescent="0.2">
      <c r="A69" s="1" t="s">
        <v>65</v>
      </c>
      <c r="J69" s="2">
        <v>2.754</v>
      </c>
      <c r="N69" s="2">
        <v>0</v>
      </c>
      <c r="T69" s="2">
        <v>2.754</v>
      </c>
    </row>
    <row r="70" spans="1:20" x14ac:dyDescent="0.2">
      <c r="A70" s="1" t="s">
        <v>66</v>
      </c>
      <c r="B70" s="2">
        <f t="shared" ref="B70:M70" si="117">+SUM(B66:B69)</f>
        <v>0</v>
      </c>
      <c r="C70" s="2">
        <f t="shared" si="117"/>
        <v>0</v>
      </c>
      <c r="D70" s="2">
        <f t="shared" si="117"/>
        <v>0</v>
      </c>
      <c r="E70" s="2">
        <f t="shared" si="117"/>
        <v>0</v>
      </c>
      <c r="F70" s="2">
        <f t="shared" si="117"/>
        <v>0</v>
      </c>
      <c r="G70" s="2">
        <f t="shared" si="117"/>
        <v>0</v>
      </c>
      <c r="H70" s="2">
        <f t="shared" si="117"/>
        <v>0</v>
      </c>
      <c r="I70" s="2">
        <f t="shared" si="117"/>
        <v>0</v>
      </c>
      <c r="J70" s="2">
        <f t="shared" si="117"/>
        <v>-135.55199999999999</v>
      </c>
      <c r="K70" s="2">
        <f t="shared" si="117"/>
        <v>0</v>
      </c>
      <c r="L70" s="2">
        <f t="shared" si="117"/>
        <v>0</v>
      </c>
      <c r="M70" s="2">
        <f t="shared" si="117"/>
        <v>0</v>
      </c>
      <c r="N70" s="2">
        <f>+SUM(N66:N69)</f>
        <v>35.76600000000002</v>
      </c>
      <c r="S70" s="2"/>
      <c r="T70" s="2">
        <f t="shared" ref="T70" si="118">+SUM(T66:T69)</f>
        <v>-439.56899999999996</v>
      </c>
    </row>
    <row r="71" spans="1:20" x14ac:dyDescent="0.2">
      <c r="T71" s="2"/>
    </row>
    <row r="72" spans="1:20" x14ac:dyDescent="0.2">
      <c r="A72" s="1" t="s">
        <v>67</v>
      </c>
      <c r="J72" s="2">
        <v>0</v>
      </c>
      <c r="N72" s="2">
        <v>-22.004999999999999</v>
      </c>
      <c r="T72" s="2">
        <v>-102.61499999999999</v>
      </c>
    </row>
    <row r="73" spans="1:20" x14ac:dyDescent="0.2">
      <c r="A73" s="1" t="s">
        <v>68</v>
      </c>
      <c r="J73" s="2">
        <v>1.1870000000000001</v>
      </c>
      <c r="N73" s="2">
        <v>0.312</v>
      </c>
      <c r="T73" s="2">
        <v>6.74</v>
      </c>
    </row>
    <row r="74" spans="1:20" x14ac:dyDescent="0.2">
      <c r="A74" s="1" t="s">
        <v>69</v>
      </c>
      <c r="J74" s="2">
        <v>-25.902000000000001</v>
      </c>
      <c r="N74" s="2">
        <v>-28.959</v>
      </c>
      <c r="T74" s="2">
        <v>-112.06699999999999</v>
      </c>
    </row>
    <row r="75" spans="1:20" x14ac:dyDescent="0.2">
      <c r="A75" s="1" t="s">
        <v>69</v>
      </c>
      <c r="J75" s="2">
        <v>-0.64500000000000002</v>
      </c>
      <c r="N75" s="2">
        <v>0</v>
      </c>
      <c r="T75" s="2">
        <v>-0.64500000000000002</v>
      </c>
    </row>
    <row r="76" spans="1:20" x14ac:dyDescent="0.2">
      <c r="A76" s="1" t="s">
        <v>70</v>
      </c>
      <c r="J76" s="2">
        <v>4.7300000000000004</v>
      </c>
      <c r="N76" s="2">
        <v>4.9160000000000004</v>
      </c>
      <c r="T76" s="2">
        <v>17.555</v>
      </c>
    </row>
    <row r="77" spans="1:20" x14ac:dyDescent="0.2">
      <c r="A77" s="1" t="s">
        <v>92</v>
      </c>
      <c r="T77" s="2">
        <v>-5.8630000000000004</v>
      </c>
    </row>
    <row r="78" spans="1:20" x14ac:dyDescent="0.2">
      <c r="A78" s="1" t="s">
        <v>71</v>
      </c>
      <c r="B78" s="2">
        <f t="shared" ref="B78:M78" si="119">+SUM(B72:B76)</f>
        <v>0</v>
      </c>
      <c r="C78" s="2">
        <f t="shared" si="119"/>
        <v>0</v>
      </c>
      <c r="D78" s="2">
        <f t="shared" si="119"/>
        <v>0</v>
      </c>
      <c r="E78" s="2">
        <f t="shared" si="119"/>
        <v>0</v>
      </c>
      <c r="F78" s="2">
        <f t="shared" si="119"/>
        <v>0</v>
      </c>
      <c r="G78" s="2">
        <f t="shared" si="119"/>
        <v>0</v>
      </c>
      <c r="H78" s="2">
        <f t="shared" si="119"/>
        <v>0</v>
      </c>
      <c r="I78" s="2">
        <f t="shared" si="119"/>
        <v>0</v>
      </c>
      <c r="J78" s="2">
        <f>+SUM(J72:J76)</f>
        <v>-20.63</v>
      </c>
      <c r="K78" s="2">
        <f t="shared" si="119"/>
        <v>0</v>
      </c>
      <c r="L78" s="2">
        <f t="shared" si="119"/>
        <v>0</v>
      </c>
      <c r="M78" s="2">
        <f t="shared" si="119"/>
        <v>0</v>
      </c>
      <c r="N78" s="2">
        <f>+SUM(N72:N76)</f>
        <v>-45.736000000000004</v>
      </c>
      <c r="S78" s="2"/>
      <c r="T78" s="2">
        <f>+SUM(T72:T77)</f>
        <v>-196.89500000000001</v>
      </c>
    </row>
    <row r="79" spans="1:20" x14ac:dyDescent="0.2">
      <c r="A79" s="1" t="s">
        <v>72</v>
      </c>
      <c r="J79" s="2">
        <v>-1.702</v>
      </c>
      <c r="N79" s="2">
        <v>-5.1269999999999998</v>
      </c>
      <c r="T79" s="2">
        <v>-2.621</v>
      </c>
    </row>
    <row r="80" spans="1:20" x14ac:dyDescent="0.2">
      <c r="A80" s="1" t="s">
        <v>73</v>
      </c>
      <c r="B80" s="2">
        <f t="shared" ref="B80:M80" si="120">+B64+B70+B78+B79</f>
        <v>-239.66300000000001</v>
      </c>
      <c r="C80" s="2">
        <f t="shared" si="120"/>
        <v>-100.02599999999995</v>
      </c>
      <c r="D80" s="2">
        <f t="shared" si="120"/>
        <v>-119.78700000000001</v>
      </c>
      <c r="E80" s="2">
        <f t="shared" si="120"/>
        <v>-63.109999999999985</v>
      </c>
      <c r="F80" s="2">
        <f t="shared" si="120"/>
        <v>-122.56099999999996</v>
      </c>
      <c r="G80" s="2">
        <f t="shared" si="120"/>
        <v>-120.37800000000001</v>
      </c>
      <c r="H80" s="2">
        <f t="shared" si="120"/>
        <v>-57.72399999999999</v>
      </c>
      <c r="I80" s="2">
        <f t="shared" si="120"/>
        <v>-27.419000000000011</v>
      </c>
      <c r="J80" s="2">
        <f t="shared" si="120"/>
        <v>-90.543000000000006</v>
      </c>
      <c r="K80" s="2">
        <f t="shared" si="120"/>
        <v>-60.36100000000004</v>
      </c>
      <c r="L80" s="2">
        <f t="shared" si="120"/>
        <v>-31.537000000000013</v>
      </c>
      <c r="M80" s="2">
        <f t="shared" si="120"/>
        <v>33.916000000000025</v>
      </c>
      <c r="N80" s="2">
        <f>+N64+N70+N78+N79</f>
        <v>84.939999999999969</v>
      </c>
      <c r="S80" s="2"/>
      <c r="T80" s="2">
        <f t="shared" ref="T80" si="121">+T64+T70+T78+T79</f>
        <v>-340.00299999999993</v>
      </c>
    </row>
    <row r="82" spans="1:26" x14ac:dyDescent="0.2">
      <c r="A82" s="1" t="s">
        <v>86</v>
      </c>
      <c r="J82" s="2">
        <v>1248.883</v>
      </c>
      <c r="N82" s="2">
        <v>1507.73</v>
      </c>
      <c r="Q82" s="2"/>
      <c r="R82" s="2"/>
      <c r="S82" s="2">
        <v>1203.845</v>
      </c>
      <c r="T82" s="2">
        <v>1463.6980000000001</v>
      </c>
    </row>
    <row r="83" spans="1:26" x14ac:dyDescent="0.2">
      <c r="A83" s="8" t="s">
        <v>90</v>
      </c>
      <c r="N83" s="5">
        <f>+N82/J82-1</f>
        <v>0.20726281004705793</v>
      </c>
      <c r="Q83" s="2"/>
      <c r="R83" s="2"/>
      <c r="S83" s="2"/>
      <c r="T83" s="5">
        <f>+T82/S82-1</f>
        <v>0.21585253915578839</v>
      </c>
    </row>
    <row r="84" spans="1:26" x14ac:dyDescent="0.2">
      <c r="A84" s="1" t="s">
        <v>87</v>
      </c>
      <c r="J84" s="2">
        <v>240</v>
      </c>
      <c r="N84" s="2">
        <v>288</v>
      </c>
      <c r="Q84" s="2"/>
      <c r="R84" s="2"/>
      <c r="S84" s="2">
        <v>229</v>
      </c>
      <c r="T84" s="2">
        <v>288</v>
      </c>
    </row>
    <row r="85" spans="1:26" x14ac:dyDescent="0.2">
      <c r="A85" s="8" t="s">
        <v>90</v>
      </c>
      <c r="N85" s="5">
        <f>+N84/J84-1</f>
        <v>0.19999999999999996</v>
      </c>
      <c r="Q85" s="2"/>
      <c r="R85" s="2"/>
      <c r="S85" s="2"/>
      <c r="T85" s="5">
        <f>+T84/S84-1</f>
        <v>0.25764192139737996</v>
      </c>
    </row>
    <row r="86" spans="1:26" x14ac:dyDescent="0.2">
      <c r="A86" s="1" t="s">
        <v>88</v>
      </c>
      <c r="J86" s="2">
        <v>1858</v>
      </c>
      <c r="N86" s="2">
        <v>2092</v>
      </c>
      <c r="Q86" s="2"/>
      <c r="R86" s="2"/>
      <c r="S86" s="2">
        <v>1785</v>
      </c>
      <c r="T86" s="2">
        <v>2054</v>
      </c>
    </row>
    <row r="87" spans="1:26" x14ac:dyDescent="0.2">
      <c r="A87" s="8" t="s">
        <v>90</v>
      </c>
      <c r="N87" s="5">
        <f>+N86/J86-1</f>
        <v>0.12594187298170079</v>
      </c>
      <c r="Q87" s="2"/>
      <c r="R87" s="2"/>
      <c r="S87" s="2"/>
      <c r="T87" s="5">
        <f>+T86/S86-1</f>
        <v>0.15070028011204473</v>
      </c>
    </row>
    <row r="88" spans="1:26" x14ac:dyDescent="0.2">
      <c r="A88" s="1" t="s">
        <v>89</v>
      </c>
      <c r="B88" s="5"/>
      <c r="C88" s="5"/>
      <c r="D88" s="5"/>
      <c r="E88" s="5"/>
      <c r="F88" s="5"/>
      <c r="G88" s="5"/>
      <c r="H88" s="5"/>
      <c r="I88" s="5"/>
      <c r="J88" s="5">
        <v>1.22</v>
      </c>
      <c r="K88" s="5"/>
      <c r="L88" s="5"/>
      <c r="M88" s="5"/>
      <c r="N88" s="5">
        <v>1.18</v>
      </c>
      <c r="Q88" s="2"/>
      <c r="R88" s="2"/>
      <c r="S88" s="5">
        <v>1.23</v>
      </c>
      <c r="T88" s="5">
        <v>1.19</v>
      </c>
    </row>
    <row r="89" spans="1:26" x14ac:dyDescent="0.2">
      <c r="Q89" s="2"/>
      <c r="R89" s="2"/>
      <c r="S89" s="2"/>
      <c r="T89" s="2"/>
    </row>
    <row r="90" spans="1:26" x14ac:dyDescent="0.2">
      <c r="A90" s="1" t="s">
        <v>93</v>
      </c>
      <c r="O90" s="2"/>
      <c r="P90" s="2"/>
      <c r="Q90" s="2"/>
      <c r="R90" s="2"/>
      <c r="S90" s="2"/>
      <c r="T90" s="2">
        <v>4035</v>
      </c>
    </row>
    <row r="92" spans="1:26" x14ac:dyDescent="0.2">
      <c r="A92" s="1" t="s">
        <v>113</v>
      </c>
      <c r="S92" s="2"/>
      <c r="T92" s="2">
        <f>+T93+T95</f>
        <v>1879.8230000000001</v>
      </c>
      <c r="U92" s="2">
        <f t="shared" ref="U92:Z92" si="122">+T92+U23</f>
        <v>1892.4321538000004</v>
      </c>
      <c r="V92" s="2">
        <f t="shared" si="122"/>
        <v>2081.2616052580006</v>
      </c>
      <c r="W92" s="2">
        <f t="shared" si="122"/>
        <v>2480.5836445691202</v>
      </c>
      <c r="X92" s="2">
        <f t="shared" si="122"/>
        <v>3058.648353267271</v>
      </c>
      <c r="Y92" s="2">
        <f t="shared" si="122"/>
        <v>3846.6412682264263</v>
      </c>
      <c r="Z92" s="2">
        <f t="shared" si="122"/>
        <v>4880.3582537174243</v>
      </c>
    </row>
    <row r="93" spans="1:26" x14ac:dyDescent="0.2">
      <c r="A93" s="1" t="s">
        <v>4</v>
      </c>
      <c r="S93" s="2"/>
      <c r="T93" s="2">
        <v>1061.6780000000001</v>
      </c>
      <c r="U93" s="2"/>
      <c r="V93" s="2"/>
      <c r="W93" s="2"/>
      <c r="X93" s="2"/>
      <c r="Y93" s="2"/>
      <c r="Z93" s="2"/>
    </row>
    <row r="94" spans="1:26" x14ac:dyDescent="0.2">
      <c r="A94" s="1" t="s">
        <v>95</v>
      </c>
      <c r="S94" s="2"/>
      <c r="T94" s="2">
        <v>0.438</v>
      </c>
    </row>
    <row r="95" spans="1:26" x14ac:dyDescent="0.2">
      <c r="A95" s="1" t="s">
        <v>96</v>
      </c>
      <c r="S95" s="2"/>
      <c r="T95" s="2">
        <v>818.14499999999998</v>
      </c>
    </row>
    <row r="96" spans="1:26" x14ac:dyDescent="0.2">
      <c r="A96" s="1" t="s">
        <v>55</v>
      </c>
      <c r="S96" s="2"/>
      <c r="T96" s="2">
        <v>436.29599999999999</v>
      </c>
    </row>
    <row r="97" spans="1:20" x14ac:dyDescent="0.2">
      <c r="A97" s="1" t="s">
        <v>97</v>
      </c>
      <c r="S97" s="2"/>
      <c r="T97" s="2">
        <v>84.197000000000003</v>
      </c>
    </row>
    <row r="98" spans="1:20" x14ac:dyDescent="0.2">
      <c r="A98" s="1" t="s">
        <v>98</v>
      </c>
      <c r="S98" s="2"/>
      <c r="T98" s="2">
        <v>74.677999999999997</v>
      </c>
    </row>
    <row r="99" spans="1:20" x14ac:dyDescent="0.2">
      <c r="A99" s="1" t="s">
        <v>57</v>
      </c>
      <c r="S99" s="2"/>
      <c r="T99" s="2">
        <v>104.98</v>
      </c>
    </row>
    <row r="100" spans="1:20" x14ac:dyDescent="0.2">
      <c r="A100" s="1" t="s">
        <v>99</v>
      </c>
      <c r="S100" s="2"/>
      <c r="T100" s="2">
        <v>0</v>
      </c>
    </row>
    <row r="101" spans="1:20" x14ac:dyDescent="0.2">
      <c r="A101" s="1" t="s">
        <v>100</v>
      </c>
      <c r="S101" s="2"/>
      <c r="T101" s="2">
        <v>6.2140000000000004</v>
      </c>
    </row>
    <row r="102" spans="1:20" x14ac:dyDescent="0.2">
      <c r="A102" s="1" t="s">
        <v>101</v>
      </c>
      <c r="S102" s="2"/>
      <c r="T102" s="2">
        <v>154.31700000000001</v>
      </c>
    </row>
    <row r="103" spans="1:20" x14ac:dyDescent="0.2">
      <c r="A103" s="1" t="s">
        <v>102</v>
      </c>
      <c r="S103" s="2"/>
      <c r="T103" s="2">
        <v>23.981999999999999</v>
      </c>
    </row>
    <row r="104" spans="1:20" x14ac:dyDescent="0.2">
      <c r="A104" s="1" t="s">
        <v>103</v>
      </c>
      <c r="S104" s="2"/>
      <c r="T104" s="2">
        <v>56.072000000000003</v>
      </c>
    </row>
    <row r="105" spans="1:20" x14ac:dyDescent="0.2">
      <c r="A105" s="1" t="s">
        <v>104</v>
      </c>
      <c r="S105" s="2"/>
      <c r="T105" s="2">
        <v>14.704000000000001</v>
      </c>
    </row>
    <row r="106" spans="1:20" x14ac:dyDescent="0.2">
      <c r="A106" s="1" t="s">
        <v>105</v>
      </c>
      <c r="S106" s="2"/>
      <c r="T106" s="2">
        <v>89.025999999999996</v>
      </c>
    </row>
    <row r="107" spans="1:20" x14ac:dyDescent="0.2">
      <c r="A107" s="1" t="s">
        <v>106</v>
      </c>
      <c r="S107" s="2"/>
      <c r="T107" s="2">
        <v>4.6779999999999999</v>
      </c>
    </row>
    <row r="108" spans="1:20" x14ac:dyDescent="0.2">
      <c r="A108" s="1" t="s">
        <v>107</v>
      </c>
      <c r="S108" s="2"/>
      <c r="T108" s="2">
        <v>25.353000000000002</v>
      </c>
    </row>
    <row r="109" spans="1:20" x14ac:dyDescent="0.2">
      <c r="S109" s="2">
        <f t="shared" ref="S109" si="123">+SUM(S93:S108)</f>
        <v>0</v>
      </c>
      <c r="T109" s="2">
        <f>+SUM(T93:T108)</f>
        <v>2954.7580000000003</v>
      </c>
    </row>
    <row r="110" spans="1:20" x14ac:dyDescent="0.2">
      <c r="A110" s="1" t="s">
        <v>74</v>
      </c>
      <c r="S110" s="2"/>
      <c r="T110" s="2"/>
    </row>
    <row r="111" spans="1:20" x14ac:dyDescent="0.2">
      <c r="A111" s="1" t="s">
        <v>108</v>
      </c>
      <c r="S111" s="2"/>
      <c r="T111" s="2"/>
    </row>
    <row r="112" spans="1:20" x14ac:dyDescent="0.2">
      <c r="A112" s="1" t="s">
        <v>58</v>
      </c>
      <c r="S112" s="2"/>
      <c r="T112" s="2"/>
    </row>
    <row r="113" spans="1:20" x14ac:dyDescent="0.2">
      <c r="A113" s="1" t="s">
        <v>60</v>
      </c>
      <c r="S113" s="2"/>
      <c r="T113" s="2"/>
    </row>
    <row r="114" spans="1:20" x14ac:dyDescent="0.2">
      <c r="A114" s="1" t="s">
        <v>109</v>
      </c>
      <c r="S114" s="2"/>
      <c r="T114" s="2"/>
    </row>
    <row r="115" spans="1:20" x14ac:dyDescent="0.2">
      <c r="A115" s="1" t="s">
        <v>110</v>
      </c>
      <c r="S115" s="2"/>
      <c r="T115" s="2"/>
    </row>
    <row r="116" spans="1:20" x14ac:dyDescent="0.2">
      <c r="A116" s="1" t="s">
        <v>111</v>
      </c>
      <c r="S116" s="2"/>
      <c r="T116" s="2"/>
    </row>
    <row r="117" spans="1:20" x14ac:dyDescent="0.2">
      <c r="A117" s="1" t="s">
        <v>112</v>
      </c>
      <c r="S117" s="2"/>
      <c r="T117" s="2"/>
    </row>
    <row r="118" spans="1:20" x14ac:dyDescent="0.2">
      <c r="S118" s="2"/>
      <c r="T118" s="2"/>
    </row>
    <row r="119" spans="1:20" x14ac:dyDescent="0.2">
      <c r="S119" s="2"/>
      <c r="T119" s="2"/>
    </row>
    <row r="120" spans="1:20" x14ac:dyDescent="0.2">
      <c r="S120" s="2"/>
      <c r="T120" s="2"/>
    </row>
  </sheetData>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alexandreduartemorais@gmail.com</dc:creator>
  <cp:lastModifiedBy>Alexandre Duarte Morais</cp:lastModifiedBy>
  <dcterms:created xsi:type="dcterms:W3CDTF">2024-08-22T11:52:16Z</dcterms:created>
  <dcterms:modified xsi:type="dcterms:W3CDTF">2024-10-04T09:32:27Z</dcterms:modified>
</cp:coreProperties>
</file>