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14" documentId="13_ncr:1_{BB7EF6FF-BD06-4906-AF92-C8FBD0D3FE12}" xr6:coauthVersionLast="47" xr6:coauthVersionMax="47" xr10:uidLastSave="{FE63ACFA-BBE5-4212-A29D-57EA800015C5}"/>
  <bookViews>
    <workbookView xWindow="14295" yWindow="0" windowWidth="14610" windowHeight="15585" activeTab="1" xr2:uid="{98E1749A-B533-4231-B112-AB0B66782D75}"/>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2" i="2" l="1"/>
  <c r="Q32" i="2"/>
  <c r="R32" i="2"/>
  <c r="T39" i="2"/>
  <c r="T38" i="2"/>
  <c r="Q33" i="2"/>
  <c r="R33" i="2"/>
  <c r="S33" i="2"/>
  <c r="R52" i="2"/>
  <c r="R62" i="2"/>
  <c r="R55" i="2"/>
  <c r="S62" i="2"/>
  <c r="S58" i="2"/>
  <c r="S52" i="2"/>
  <c r="S55" i="2"/>
  <c r="R39" i="2"/>
  <c r="R38" i="2"/>
  <c r="R49" i="2" s="1"/>
  <c r="R64" i="2" s="1"/>
  <c r="S39" i="2"/>
  <c r="S38" i="2"/>
  <c r="S49" i="2" s="1"/>
  <c r="S64" i="2" s="1"/>
  <c r="W23" i="2"/>
  <c r="V23" i="2"/>
  <c r="U23" i="2"/>
  <c r="S23" i="2"/>
  <c r="R23" i="2"/>
  <c r="S28" i="2"/>
  <c r="R28" i="2"/>
  <c r="S27" i="2"/>
  <c r="R27" i="2"/>
  <c r="S26" i="2"/>
  <c r="R26" i="2"/>
  <c r="S25" i="2"/>
  <c r="R25" i="2"/>
  <c r="T23" i="2"/>
  <c r="T28" i="2"/>
  <c r="T27" i="2"/>
  <c r="T26" i="2"/>
  <c r="T25" i="2"/>
  <c r="T10" i="2"/>
  <c r="T19" i="2" s="1"/>
  <c r="T21" i="2" s="1"/>
  <c r="S10" i="2"/>
  <c r="S19" i="2" s="1"/>
  <c r="S21" i="2" s="1"/>
  <c r="R10" i="2"/>
  <c r="R19" i="2" s="1"/>
  <c r="R21" i="2" s="1"/>
  <c r="Q10" i="2"/>
  <c r="Q19" i="2" s="1"/>
  <c r="Q21" i="2" s="1"/>
  <c r="R2" i="2"/>
  <c r="S2" i="2" s="1"/>
  <c r="T2" i="2" s="1"/>
  <c r="U2" i="2" s="1"/>
  <c r="V2" i="2" s="1"/>
  <c r="W2" i="2" s="1"/>
  <c r="X2" i="2" s="1"/>
  <c r="Y2" i="2" s="1"/>
  <c r="Z2" i="2" s="1"/>
  <c r="M23" i="2"/>
  <c r="L23" i="2"/>
  <c r="K23" i="2"/>
  <c r="N23" i="2"/>
  <c r="N10" i="2"/>
  <c r="N19" i="2" s="1"/>
  <c r="N21" i="2" s="1"/>
  <c r="M10" i="2"/>
  <c r="L10" i="2"/>
  <c r="L19" i="2" s="1"/>
  <c r="L21" i="2" s="1"/>
  <c r="K10" i="2"/>
  <c r="K19" i="2" s="1"/>
  <c r="K21" i="2" s="1"/>
  <c r="F10" i="2"/>
  <c r="F19" i="2" s="1"/>
  <c r="F21" i="2" s="1"/>
  <c r="E10" i="2"/>
  <c r="E19" i="2" s="1"/>
  <c r="E21" i="2" s="1"/>
  <c r="D10" i="2"/>
  <c r="D19" i="2" s="1"/>
  <c r="D21" i="2" s="1"/>
  <c r="C10" i="2"/>
  <c r="C19" i="2" s="1"/>
  <c r="C21" i="2" s="1"/>
  <c r="I10" i="2"/>
  <c r="I19" i="2" s="1"/>
  <c r="I21" i="2" s="1"/>
  <c r="H10" i="2"/>
  <c r="H19" i="2" s="1"/>
  <c r="H21" i="2" s="1"/>
  <c r="G10" i="2"/>
  <c r="G19" i="2" s="1"/>
  <c r="G21" i="2" s="1"/>
  <c r="J10" i="2"/>
  <c r="I4" i="1" a="1"/>
  <c r="I4" i="1" s="1"/>
  <c r="I6" i="1" s="1"/>
  <c r="I9" i="1" s="1"/>
  <c r="I11" i="1" s="1"/>
  <c r="T29" i="2" l="1"/>
  <c r="R29" i="2"/>
  <c r="S29" i="2"/>
  <c r="N29" i="2"/>
  <c r="M29" i="2"/>
  <c r="M19" i="2"/>
  <c r="M21" i="2" s="1"/>
  <c r="J19" i="2"/>
  <c r="J21" i="2" s="1"/>
  <c r="L29" i="2"/>
  <c r="K2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<sst xmlns="http://schemas.openxmlformats.org/spreadsheetml/2006/main" count="89" uniqueCount="84">
  <si>
    <t>Ticket</t>
  </si>
  <si>
    <t>price</t>
  </si>
  <si>
    <t>shares</t>
  </si>
  <si>
    <t>mc</t>
  </si>
  <si>
    <t>cash</t>
  </si>
  <si>
    <t>debt</t>
  </si>
  <si>
    <t>ev</t>
  </si>
  <si>
    <t>Management fees</t>
  </si>
  <si>
    <t>Incentive fees</t>
  </si>
  <si>
    <t>Performance fees</t>
  </si>
  <si>
    <t>Advisory and ancillary fees</t>
  </si>
  <si>
    <t>tax on revenue</t>
  </si>
  <si>
    <t>Total Revenue</t>
  </si>
  <si>
    <t>Q1 2023</t>
  </si>
  <si>
    <t>Q2 2023</t>
  </si>
  <si>
    <t>Q3 2023</t>
  </si>
  <si>
    <t>Q4 2023</t>
  </si>
  <si>
    <t>Q1 2022</t>
  </si>
  <si>
    <t>Q2 2022</t>
  </si>
  <si>
    <t>Q3 2022</t>
  </si>
  <si>
    <t>Q4 2022</t>
  </si>
  <si>
    <t>Personnel expenses</t>
  </si>
  <si>
    <t>Deferred consideration</t>
  </si>
  <si>
    <t>D&amp;A</t>
  </si>
  <si>
    <t>Carried Interest allocation</t>
  </si>
  <si>
    <t>G&amp;A</t>
  </si>
  <si>
    <t>Other Income</t>
  </si>
  <si>
    <t>Equity earnings</t>
  </si>
  <si>
    <t>Net financial Income</t>
  </si>
  <si>
    <t>Pretax Income</t>
  </si>
  <si>
    <t>Taxes</t>
  </si>
  <si>
    <t>Net income</t>
  </si>
  <si>
    <t>Q1 2024</t>
  </si>
  <si>
    <t>Q2 2024</t>
  </si>
  <si>
    <t>Q3 2024</t>
  </si>
  <si>
    <t>Q4 2024</t>
  </si>
  <si>
    <t>Revenue Y/Y</t>
  </si>
  <si>
    <t>AUM</t>
  </si>
  <si>
    <t>AUM y/y</t>
  </si>
  <si>
    <t>main</t>
  </si>
  <si>
    <t>Private Equity</t>
  </si>
  <si>
    <t>27 companies</t>
  </si>
  <si>
    <t>Public Equity</t>
  </si>
  <si>
    <t>Global Private Market Solutions</t>
  </si>
  <si>
    <t>10,000 AUM</t>
  </si>
  <si>
    <t xml:space="preserve">2,500 AUM </t>
  </si>
  <si>
    <t>Infrastructure</t>
  </si>
  <si>
    <t>Real Estate</t>
  </si>
  <si>
    <t>3,600 AUM</t>
  </si>
  <si>
    <t>Credit</t>
  </si>
  <si>
    <t xml:space="preserve">4,300 AUM </t>
  </si>
  <si>
    <t>Wealth Management</t>
  </si>
  <si>
    <t>Services</t>
  </si>
  <si>
    <t>CFFO</t>
  </si>
  <si>
    <t>CAPEX</t>
  </si>
  <si>
    <t>FCF</t>
  </si>
  <si>
    <t xml:space="preserve">Cash </t>
  </si>
  <si>
    <t>ST investments</t>
  </si>
  <si>
    <t>Deposits</t>
  </si>
  <si>
    <t>AR</t>
  </si>
  <si>
    <t>Project advances</t>
  </si>
  <si>
    <t>Recoverable taxes</t>
  </si>
  <si>
    <t>other CA</t>
  </si>
  <si>
    <t>Derivative financial instruments</t>
  </si>
  <si>
    <t>Deferred taxes</t>
  </si>
  <si>
    <t>Other NC Assets</t>
  </si>
  <si>
    <t>LT investments</t>
  </si>
  <si>
    <t>Investments in associates</t>
  </si>
  <si>
    <t>PPE</t>
  </si>
  <si>
    <t>Intangible assets</t>
  </si>
  <si>
    <t>Total Assets</t>
  </si>
  <si>
    <t>Client funds payable</t>
  </si>
  <si>
    <t>Consideration payable on acquisition</t>
  </si>
  <si>
    <t>Personnel and related taxes payable</t>
  </si>
  <si>
    <t>Taxes payable</t>
  </si>
  <si>
    <t>Carried interetest allocation</t>
  </si>
  <si>
    <t>Commitment subject to possible redemption</t>
  </si>
  <si>
    <t>Gross Obligation under put option</t>
  </si>
  <si>
    <t>Other CL</t>
  </si>
  <si>
    <t>Total Liabilities</t>
  </si>
  <si>
    <t>Personnel liabilities</t>
  </si>
  <si>
    <t>Other NCL</t>
  </si>
  <si>
    <t>S/E</t>
  </si>
  <si>
    <t>EV/FCF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</si>
</sst>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x"/>
  </numFmts>
  <fonts count="4"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9" fontId="1" fillId="0" borderId="0" xfId="0" applyNumberFormat="1" applyFont="1"/>
    <xf numFmtId="3" fontId="1" fillId="0" borderId="0" xfId="0" applyNumberFormat="1" applyFont="1"/>
    <xf numFmtId="9" fontId="2" fillId="0" borderId="0" xfId="0" applyNumberFormat="1" applyFont="1"/>
    <xf numFmtId="0" fontId="3" fillId="0" borderId="0" xfId="1"/>
    <xf numFmtId="164" fontId="1" fillId="0" borderId="0" xfId="0" applyNumberFormat="1" applyFont="1"/>
    <xf numFmtId="3" fontId="2" fillId="0" borderId="0" xfId="0" applyNumberFormat="1" applyFont="1"/>
    <xf numFmtId="165"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14</xdr:col>
      <xdr:colOff>0</xdr:colOff>
      <xdr:row>0</xdr:row>
      <xdr:rowOff>35859</xdr:rowOff>
    </xdr:from>
    <xdr:to>
      <xdr:col>14</xdr:col>
      <xdr:colOff>0</xdr:colOff>
      <xdr:row>64</xdr:row>
      <xdr:rowOff>137583</xdr:rowOff>
    </xdr:to>
    <xdr:cxnSp macro="">
      <xdr:nvCxnSpPr>
        <xdr:cNvPr id="3" name="Straight Connector 2">
          <a:extLst>
            <a:ext uri="{FF2B5EF4-FFF2-40B4-BE49-F238E27FC236}">
              <a16:creationId xmlns:a16="http://schemas.microsoft.com/office/drawing/2014/main" id="{777E28AB-0E63-31BA-C1F6-D3DBD3A43ECF}"/>
            </a:ext>
          </a:extLst>
        </xdr:cNvPr>
        <xdr:cNvCxnSpPr/>
      </xdr:nvCxnSpPr>
      <xdr:spPr>
        <a:xfrm>
          <a:off x="9683750" y="35859"/>
          <a:ext cx="0" cy="1029347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10583</xdr:colOff>
      <xdr:row>0</xdr:row>
      <xdr:rowOff>31750</xdr:rowOff>
    </xdr:from>
    <xdr:to>
      <xdr:col>20</xdr:col>
      <xdr:colOff>21167</xdr:colOff>
      <xdr:row>65</xdr:row>
      <xdr:rowOff>10583</xdr:rowOff>
    </xdr:to>
    <xdr:cxnSp macro="">
      <xdr:nvCxnSpPr>
        <xdr:cNvPr id="5" name="Straight Connector 4">
          <a:extLst>
            <a:ext uri="{FF2B5EF4-FFF2-40B4-BE49-F238E27FC236}">
              <a16:creationId xmlns:a16="http://schemas.microsoft.com/office/drawing/2014/main" id="{D61373E2-2922-3A20-31E5-F874550A814A}"/>
            </a:ext>
          </a:extLst>
        </xdr:cNvPr>
        <xdr:cNvCxnSpPr/>
      </xdr:nvCxnSpPr>
      <xdr:spPr>
        <a:xfrm>
          <a:off x="13377333" y="31750"/>
          <a:ext cx="10584" cy="1032933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https://www.bing.com/financeapi/forcetrigger?t=bxfgvh&amp;q=XNAS%3aPAX&amp;form=skydnc</v>
    <v>Learn more on Bing</v>
  </rv>
  <rv s="1">
    <v>en-GB</v>
    <v>bxfgvh</v>
    <v>268435456</v>
    <v>1</v>
    <v>Powered by Refinitiv</v>
    <v>0</v>
    <v>PATRIA INVESTMENTS LTD. (XNAS:PAX)</v>
    <v>2</v>
    <v>3</v>
    <v>Finance</v>
    <v>4</v>
    <v>15.035</v>
    <v>10.5</v>
    <v>0.58220000000000005</v>
    <v>0.02</v>
    <v>0</v>
    <v>1.7699999999999999E-3</v>
    <v>0</v>
    <v>USD</v>
    <v>Patria Investments Limited is a Cayman Islands-based global alternative investment company. The Company’s product offering encompasses six product lines, such as private equity, infrastructure, credit, public equities, real estate, and global private markets solutions. It seeks to provide global and Latin American investors with investment products that allow for portfolio diversification and consistent returns. Patria Private Equity seeks to create consistent quartile returns. It makes private investments in public equities. Patria Infrastructure performs equity investments in a diversified portfolio of infrastructure-related assets in Brazil and selected other Latin American countries. It has investment in real assets. It offers its clients a range of different credit solutions, and in addition to capital, the Company offers management advice. Its investment portfolio consists of healthcare, education, food and beverages, diversified agribusiness, transportation, energy, and others.</v>
    <v>430</v>
    <v>Nasdaq Stock Market</v>
    <v>XNAS</v>
    <v>XNAS</v>
    <v>60 Nexus Way, 4Th Floor, Camana Bay, Po Box 757, GRAND CAYMAN, KY1-9006 KY</v>
    <v>11.37</v>
    <v>Investment Banking &amp; Investment Services</v>
    <v>Stock</v>
    <v>45723.878586550782</v>
    <v>0</v>
    <v>11.07</v>
    <v>1736254000</v>
    <v>PATRIA INVESTMENTS LTD.</v>
    <v>PATRIA INVESTMENTS LTD.</v>
    <v>11.3</v>
    <v>26.875599999999999</v>
    <v>11.3</v>
    <v>11.32</v>
    <v>11.32</v>
    <v>153379300</v>
    <v>PAX</v>
    <v>PATRIA INVESTMENTS LTD. (XNAS:PAX)</v>
    <v>736887</v>
    <v>594487</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E1D1D-B460-49EE-96F1-3BD6E9B41C66}">
  <dimension ref="A2:I20"/>
  <sheetViews>
    <sheetView workbookViewId="0">
      <selection activeCell="I11" sqref="I11"/>
    </sheetView>
  </sheetViews>
  <sheetFormatPr defaultColWidth="8.85546875" defaultRowHeight="12.75" x14ac:dyDescent="0.2"/>
  <cols>
    <col min="1" max="1" width="12.28515625" style="1" bestFit="1" customWidth="1"/>
    <col min="2" max="2" width="26.42578125" style="1" bestFit="1" customWidth="1"/>
    <col min="3" max="8" width="8.85546875" style="1"/>
    <col min="9" max="9" width="10.7109375" style="1" customWidth="1"/>
    <col min="10" max="16384" width="8.85546875" style="1"/>
  </cols>
  <sheetData>
    <row r="2" spans="1:9" x14ac:dyDescent="0.2">
      <c r="A2" s="1" t="s">
        <v>52</v>
      </c>
    </row>
    <row r="3" spans="1:9" x14ac:dyDescent="0.2">
      <c r="B3" s="1" t="s">
        <v>40</v>
      </c>
      <c r="H3" s="1" t="s">
        <v>0</v>
      </c>
      <c r="I3" s="1" t="e" vm="1">
        <v>#VALUE!</v>
      </c>
    </row>
    <row r="4" spans="1:9" x14ac:dyDescent="0.2">
      <c r="C4" s="1" t="s">
        <v>41</v>
      </c>
      <c r="H4" s="1" t="s">
        <v>1</v>
      </c>
      <c r="I4" s="7" cm="1">
        <f t="array" aca="1" ref="I4" ca="1">_FV(I3,"Price")</f>
        <v>11.32</v>
      </c>
    </row>
    <row r="5" spans="1:9" x14ac:dyDescent="0.2">
      <c r="H5" s="1" t="s">
        <v>2</v>
      </c>
      <c r="I5" s="1">
        <v>147.9</v>
      </c>
    </row>
    <row r="6" spans="1:9" x14ac:dyDescent="0.2">
      <c r="B6" s="1" t="s">
        <v>42</v>
      </c>
      <c r="H6" s="1" t="s">
        <v>3</v>
      </c>
      <c r="I6" s="4">
        <f ca="1">I4*I5</f>
        <v>1674.2280000000001</v>
      </c>
    </row>
    <row r="7" spans="1:9" x14ac:dyDescent="0.2">
      <c r="C7" s="1" t="s">
        <v>45</v>
      </c>
      <c r="H7" s="1" t="s">
        <v>4</v>
      </c>
      <c r="I7" s="4">
        <v>39.1</v>
      </c>
    </row>
    <row r="8" spans="1:9" x14ac:dyDescent="0.2">
      <c r="H8" s="1" t="s">
        <v>5</v>
      </c>
      <c r="I8" s="4">
        <v>15.6</v>
      </c>
    </row>
    <row r="9" spans="1:9" x14ac:dyDescent="0.2">
      <c r="B9" s="1" t="s">
        <v>43</v>
      </c>
      <c r="H9" s="1" t="s">
        <v>6</v>
      </c>
      <c r="I9" s="4">
        <f ca="1">I6-I7+I8</f>
        <v>1650.7280000000001</v>
      </c>
    </row>
    <row r="10" spans="1:9" x14ac:dyDescent="0.2">
      <c r="C10" s="1" t="s">
        <v>44</v>
      </c>
    </row>
    <row r="11" spans="1:9" x14ac:dyDescent="0.2">
      <c r="H11" s="2" t="s">
        <v>83</v>
      </c>
      <c r="I11" s="9">
        <f ca="1">+I9/model!S33</f>
        <v>11.014913621107278</v>
      </c>
    </row>
    <row r="12" spans="1:9" x14ac:dyDescent="0.2">
      <c r="B12" s="1" t="s">
        <v>46</v>
      </c>
    </row>
    <row r="14" spans="1:9" x14ac:dyDescent="0.2">
      <c r="B14" s="1" t="s">
        <v>47</v>
      </c>
    </row>
    <row r="15" spans="1:9" x14ac:dyDescent="0.2">
      <c r="C15" s="1" t="s">
        <v>48</v>
      </c>
    </row>
    <row r="17" spans="2:3" x14ac:dyDescent="0.2">
      <c r="B17" s="1" t="s">
        <v>49</v>
      </c>
    </row>
    <row r="18" spans="2:3" x14ac:dyDescent="0.2">
      <c r="C18" s="1" t="s">
        <v>50</v>
      </c>
    </row>
    <row r="20" spans="2:3" x14ac:dyDescent="0.2">
      <c r="B20" s="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168AC-C7F3-4570-AEF3-C27F3A95250B}">
  <dimension ref="A1:Z64"/>
  <sheetViews>
    <sheetView tabSelected="1" zoomScale="90" zoomScaleNormal="90" workbookViewId="0">
      <pane xSplit="2" ySplit="2" topLeftCell="O3" activePane="bottomRight" state="frozen"/>
      <selection pane="topRight" activeCell="C1" sqref="C1"/>
      <selection pane="bottomLeft" activeCell="A3" sqref="A3"/>
      <selection pane="bottomRight" activeCell="W28" sqref="W28"/>
    </sheetView>
  </sheetViews>
  <sheetFormatPr defaultColWidth="8.85546875" defaultRowHeight="12.75" x14ac:dyDescent="0.2"/>
  <cols>
    <col min="1" max="1" width="5.28515625" style="1" bestFit="1" customWidth="1"/>
    <col min="2" max="2" width="32" style="1" bestFit="1" customWidth="1"/>
    <col min="3" max="6" width="9.140625" style="1" customWidth="1"/>
    <col min="7" max="18" width="8.85546875" style="1"/>
    <col min="19" max="20" width="9.85546875" style="1" bestFit="1" customWidth="1"/>
    <col min="21" max="16384" width="8.85546875" style="1"/>
  </cols>
  <sheetData>
    <row r="1" spans="1:26" ht="15" x14ac:dyDescent="0.25">
      <c r="A1" s="6" t="s">
        <v>39</v>
      </c>
    </row>
    <row r="2" spans="1:26" x14ac:dyDescent="0.2">
      <c r="C2" s="2" t="s">
        <v>17</v>
      </c>
      <c r="D2" s="2" t="s">
        <v>18</v>
      </c>
      <c r="E2" s="2" t="s">
        <v>19</v>
      </c>
      <c r="F2" s="2" t="s">
        <v>20</v>
      </c>
      <c r="G2" s="2" t="s">
        <v>13</v>
      </c>
      <c r="H2" s="2" t="s">
        <v>14</v>
      </c>
      <c r="I2" s="2" t="s">
        <v>15</v>
      </c>
      <c r="J2" s="2" t="s">
        <v>16</v>
      </c>
      <c r="K2" s="2" t="s">
        <v>32</v>
      </c>
      <c r="L2" s="2" t="s">
        <v>33</v>
      </c>
      <c r="M2" s="2" t="s">
        <v>34</v>
      </c>
      <c r="N2" s="2" t="s">
        <v>35</v>
      </c>
      <c r="Q2" s="2">
        <v>2021</v>
      </c>
      <c r="R2" s="2">
        <f>+Q2+1</f>
        <v>2022</v>
      </c>
      <c r="S2" s="2">
        <f t="shared" ref="S2:Z2" si="0">+R2+1</f>
        <v>2023</v>
      </c>
      <c r="T2" s="2">
        <f t="shared" si="0"/>
        <v>2024</v>
      </c>
      <c r="U2" s="2">
        <f t="shared" si="0"/>
        <v>2025</v>
      </c>
      <c r="V2" s="2">
        <f t="shared" si="0"/>
        <v>2026</v>
      </c>
      <c r="W2" s="2">
        <f t="shared" si="0"/>
        <v>2027</v>
      </c>
      <c r="X2" s="2">
        <f t="shared" si="0"/>
        <v>2028</v>
      </c>
      <c r="Y2" s="2">
        <f t="shared" si="0"/>
        <v>2029</v>
      </c>
      <c r="Z2" s="2">
        <f t="shared" si="0"/>
        <v>2030</v>
      </c>
    </row>
    <row r="3" spans="1:26" x14ac:dyDescent="0.2">
      <c r="B3" s="1" t="s">
        <v>37</v>
      </c>
      <c r="C3" s="4"/>
      <c r="D3" s="4"/>
      <c r="E3" s="4"/>
      <c r="F3" s="4"/>
      <c r="G3" s="4">
        <v>27300</v>
      </c>
      <c r="H3" s="4">
        <v>28200</v>
      </c>
      <c r="I3" s="4">
        <v>28400</v>
      </c>
      <c r="J3" s="4">
        <v>31800</v>
      </c>
      <c r="K3" s="4">
        <v>32000</v>
      </c>
      <c r="L3" s="4">
        <v>40300</v>
      </c>
      <c r="M3" s="4">
        <v>44700</v>
      </c>
      <c r="N3" s="4">
        <v>41900</v>
      </c>
      <c r="Q3" s="4">
        <v>23800</v>
      </c>
      <c r="R3" s="4">
        <v>27200</v>
      </c>
      <c r="S3" s="4">
        <v>31800</v>
      </c>
      <c r="T3" s="4">
        <v>41900</v>
      </c>
      <c r="U3" s="4">
        <v>50000</v>
      </c>
      <c r="V3" s="4">
        <v>60000</v>
      </c>
      <c r="W3" s="4">
        <v>70000</v>
      </c>
      <c r="X3" s="4"/>
      <c r="Y3" s="4"/>
      <c r="Z3" s="4"/>
    </row>
    <row r="4" spans="1:26" x14ac:dyDescent="0.2">
      <c r="C4" s="2"/>
      <c r="D4" s="2"/>
      <c r="E4" s="2"/>
      <c r="F4" s="2"/>
      <c r="G4" s="2"/>
      <c r="H4" s="2"/>
      <c r="I4" s="2"/>
      <c r="J4" s="2"/>
      <c r="K4" s="2"/>
      <c r="L4" s="2"/>
      <c r="M4" s="2"/>
      <c r="N4" s="2"/>
      <c r="U4" s="4"/>
      <c r="V4" s="4"/>
      <c r="W4" s="4"/>
      <c r="X4" s="4"/>
      <c r="Y4" s="4"/>
      <c r="Z4" s="4"/>
    </row>
    <row r="5" spans="1:26" x14ac:dyDescent="0.2">
      <c r="B5" s="1" t="s">
        <v>7</v>
      </c>
      <c r="F5" s="1">
        <v>57.4</v>
      </c>
      <c r="G5" s="1">
        <v>57.7</v>
      </c>
      <c r="H5" s="1">
        <v>61.7</v>
      </c>
      <c r="I5" s="1">
        <v>63.5</v>
      </c>
      <c r="J5" s="1">
        <v>67.5</v>
      </c>
      <c r="K5" s="1">
        <v>63.9</v>
      </c>
      <c r="L5" s="1">
        <v>72</v>
      </c>
      <c r="M5" s="1">
        <v>78</v>
      </c>
      <c r="N5" s="1">
        <v>80</v>
      </c>
      <c r="Q5" s="1">
        <v>144.69999999999999</v>
      </c>
      <c r="R5" s="1">
        <v>223.5</v>
      </c>
      <c r="S5" s="1">
        <v>252.9</v>
      </c>
      <c r="T5" s="1">
        <v>293.89999999999998</v>
      </c>
      <c r="U5" s="4"/>
      <c r="V5" s="4"/>
      <c r="W5" s="4"/>
      <c r="X5" s="4"/>
      <c r="Y5" s="4"/>
      <c r="Z5" s="4"/>
    </row>
    <row r="6" spans="1:26" x14ac:dyDescent="0.2">
      <c r="B6" s="1" t="s">
        <v>8</v>
      </c>
      <c r="F6" s="1">
        <v>0.1</v>
      </c>
      <c r="G6" s="1">
        <v>0.1</v>
      </c>
      <c r="H6" s="1">
        <v>0</v>
      </c>
      <c r="I6" s="1">
        <v>0</v>
      </c>
      <c r="J6" s="1">
        <v>3.9</v>
      </c>
      <c r="K6" s="1">
        <v>0</v>
      </c>
      <c r="L6" s="1">
        <v>1.3</v>
      </c>
      <c r="M6" s="1">
        <v>0.2</v>
      </c>
      <c r="N6" s="1">
        <v>12.3</v>
      </c>
      <c r="Q6" s="1">
        <v>4.9000000000000004</v>
      </c>
      <c r="R6" s="1">
        <v>6.1</v>
      </c>
      <c r="S6" s="1">
        <v>4.0999999999999996</v>
      </c>
      <c r="T6" s="1">
        <v>13.8</v>
      </c>
      <c r="U6" s="4"/>
      <c r="V6" s="4"/>
      <c r="W6" s="4"/>
      <c r="X6" s="4"/>
      <c r="Y6" s="4"/>
      <c r="Z6" s="4"/>
    </row>
    <row r="7" spans="1:26" x14ac:dyDescent="0.2">
      <c r="B7" s="1" t="s">
        <v>9</v>
      </c>
      <c r="F7" s="1">
        <v>0</v>
      </c>
      <c r="G7" s="1">
        <v>15.5</v>
      </c>
      <c r="H7" s="1">
        <v>17.5</v>
      </c>
      <c r="I7" s="1">
        <v>0.3</v>
      </c>
      <c r="J7" s="1">
        <v>41.5</v>
      </c>
      <c r="K7" s="1">
        <v>0</v>
      </c>
      <c r="L7" s="1">
        <v>0</v>
      </c>
      <c r="N7" s="1">
        <v>62.7</v>
      </c>
      <c r="Q7" s="1">
        <v>89.3</v>
      </c>
      <c r="R7" s="1">
        <v>29.2</v>
      </c>
      <c r="S7" s="1">
        <v>74.7</v>
      </c>
      <c r="T7" s="1">
        <v>62.7</v>
      </c>
      <c r="U7" s="4"/>
      <c r="V7" s="4"/>
      <c r="W7" s="4"/>
      <c r="X7" s="4"/>
      <c r="Y7" s="4"/>
      <c r="Z7" s="4"/>
    </row>
    <row r="8" spans="1:26" x14ac:dyDescent="0.2">
      <c r="B8" s="1" t="s">
        <v>10</v>
      </c>
      <c r="F8" s="1">
        <v>0.5</v>
      </c>
      <c r="G8" s="1">
        <v>0.5</v>
      </c>
      <c r="H8" s="1">
        <v>0.5</v>
      </c>
      <c r="I8" s="1">
        <v>1.1000000000000001</v>
      </c>
      <c r="J8" s="1">
        <v>0.7</v>
      </c>
      <c r="K8" s="1">
        <v>1.3</v>
      </c>
      <c r="L8" s="1">
        <v>3.2</v>
      </c>
      <c r="M8" s="1">
        <v>1.5</v>
      </c>
      <c r="N8" s="1">
        <v>4.9000000000000004</v>
      </c>
      <c r="Q8" s="1">
        <v>0.7</v>
      </c>
      <c r="R8" s="1">
        <v>4.2</v>
      </c>
      <c r="S8" s="1">
        <v>2.7</v>
      </c>
      <c r="T8" s="1">
        <v>10.9</v>
      </c>
      <c r="U8" s="4"/>
      <c r="V8" s="4"/>
      <c r="W8" s="4"/>
      <c r="X8" s="4"/>
      <c r="Y8" s="4"/>
      <c r="Z8" s="4"/>
    </row>
    <row r="9" spans="1:26" x14ac:dyDescent="0.2">
      <c r="B9" s="1" t="s">
        <v>11</v>
      </c>
      <c r="F9" s="1">
        <v>-1.1000000000000001</v>
      </c>
      <c r="G9" s="1">
        <v>-1.1000000000000001</v>
      </c>
      <c r="H9" s="1">
        <v>-2.5</v>
      </c>
      <c r="I9" s="1">
        <v>-1.4</v>
      </c>
      <c r="J9" s="1">
        <v>-1.9</v>
      </c>
      <c r="K9" s="1">
        <v>-1.3</v>
      </c>
      <c r="L9" s="1">
        <v>-1.5</v>
      </c>
      <c r="M9" s="1">
        <v>-1.7</v>
      </c>
      <c r="N9" s="1">
        <v>-2.6</v>
      </c>
      <c r="Q9" s="1">
        <v>-4.0999999999999996</v>
      </c>
      <c r="R9" s="1">
        <v>-4</v>
      </c>
      <c r="S9" s="1">
        <v>-6.8</v>
      </c>
      <c r="T9" s="1">
        <v>-7.1</v>
      </c>
      <c r="U9" s="4"/>
      <c r="V9" s="4"/>
      <c r="W9" s="4"/>
      <c r="X9" s="4"/>
      <c r="Y9" s="4"/>
      <c r="Z9" s="4"/>
    </row>
    <row r="10" spans="1:26" x14ac:dyDescent="0.2">
      <c r="B10" s="2" t="s">
        <v>12</v>
      </c>
      <c r="C10" s="2">
        <f t="shared" ref="C10" si="1">SUM(C5:C9)</f>
        <v>0</v>
      </c>
      <c r="D10" s="2">
        <f t="shared" ref="D10" si="2">SUM(D5:D9)</f>
        <v>0</v>
      </c>
      <c r="E10" s="2">
        <f t="shared" ref="E10" si="3">SUM(E5:E9)</f>
        <v>0</v>
      </c>
      <c r="F10" s="2">
        <f t="shared" ref="F10" si="4">SUM(F5:F9)</f>
        <v>56.9</v>
      </c>
      <c r="G10" s="2">
        <f t="shared" ref="G10:I10" si="5">SUM(G5:G9)</f>
        <v>72.700000000000017</v>
      </c>
      <c r="H10" s="2">
        <f t="shared" si="5"/>
        <v>77.2</v>
      </c>
      <c r="I10" s="2">
        <f t="shared" si="5"/>
        <v>63.499999999999993</v>
      </c>
      <c r="J10" s="2">
        <f>SUM(J5:J9)</f>
        <v>111.7</v>
      </c>
      <c r="K10" s="2">
        <f t="shared" ref="K10:M10" si="6">SUM(K5:K9)</f>
        <v>63.900000000000006</v>
      </c>
      <c r="L10" s="2">
        <f t="shared" si="6"/>
        <v>75</v>
      </c>
      <c r="M10" s="2">
        <f t="shared" si="6"/>
        <v>78</v>
      </c>
      <c r="N10" s="2">
        <f>SUM(N5:N9)</f>
        <v>157.30000000000001</v>
      </c>
      <c r="Q10" s="2">
        <f t="shared" ref="Q10:T10" si="7">SUM(Q5:Q9)</f>
        <v>235.49999999999997</v>
      </c>
      <c r="R10" s="2">
        <f t="shared" si="7"/>
        <v>259</v>
      </c>
      <c r="S10" s="2">
        <f t="shared" si="7"/>
        <v>327.59999999999997</v>
      </c>
      <c r="T10" s="2">
        <f t="shared" si="7"/>
        <v>374.19999999999993</v>
      </c>
      <c r="U10" s="4"/>
      <c r="V10" s="4"/>
      <c r="W10" s="4"/>
      <c r="X10" s="4"/>
      <c r="Y10" s="4"/>
      <c r="Z10" s="4"/>
    </row>
    <row r="11" spans="1:26" x14ac:dyDescent="0.2">
      <c r="B11" s="1" t="s">
        <v>21</v>
      </c>
      <c r="F11" s="1">
        <v>15.8</v>
      </c>
      <c r="G11" s="1">
        <v>18.399999999999999</v>
      </c>
      <c r="H11" s="1">
        <v>18.600000000000001</v>
      </c>
      <c r="I11" s="1">
        <v>15.8</v>
      </c>
      <c r="J11" s="1">
        <v>26</v>
      </c>
      <c r="K11" s="1">
        <v>18.399999999999999</v>
      </c>
      <c r="L11" s="1">
        <v>29.6</v>
      </c>
      <c r="M11" s="1">
        <v>29.9</v>
      </c>
      <c r="N11" s="1">
        <v>33.700000000000003</v>
      </c>
      <c r="Q11" s="1">
        <v>47.6</v>
      </c>
      <c r="R11" s="1">
        <v>69.8</v>
      </c>
      <c r="S11" s="1">
        <v>78.8</v>
      </c>
      <c r="T11" s="1">
        <v>111.7</v>
      </c>
      <c r="U11" s="4"/>
      <c r="V11" s="4"/>
      <c r="W11" s="4"/>
      <c r="X11" s="4"/>
      <c r="Y11" s="4"/>
      <c r="Z11" s="4"/>
    </row>
    <row r="12" spans="1:26" x14ac:dyDescent="0.2">
      <c r="B12" s="1" t="s">
        <v>22</v>
      </c>
      <c r="F12" s="1">
        <v>6.1</v>
      </c>
      <c r="G12" s="1">
        <v>6.1</v>
      </c>
      <c r="H12" s="1">
        <v>6.8</v>
      </c>
      <c r="I12" s="1">
        <v>6.1</v>
      </c>
      <c r="J12" s="1">
        <v>3.9</v>
      </c>
      <c r="K12" s="1">
        <v>2.4</v>
      </c>
      <c r="L12" s="1">
        <v>3.5</v>
      </c>
      <c r="M12" s="1">
        <v>3</v>
      </c>
      <c r="N12" s="1">
        <v>2.2999999999999998</v>
      </c>
      <c r="Q12" s="1">
        <v>2</v>
      </c>
      <c r="R12" s="1">
        <v>24.4</v>
      </c>
      <c r="S12" s="1">
        <v>23</v>
      </c>
      <c r="T12" s="1">
        <v>11.2</v>
      </c>
      <c r="U12" s="4"/>
      <c r="V12" s="4"/>
      <c r="W12" s="4"/>
      <c r="X12" s="4"/>
      <c r="Y12" s="4"/>
      <c r="Z12" s="4"/>
    </row>
    <row r="13" spans="1:26" x14ac:dyDescent="0.2">
      <c r="B13" s="1" t="s">
        <v>23</v>
      </c>
      <c r="F13" s="1">
        <v>4.0999999999999996</v>
      </c>
      <c r="G13" s="1">
        <v>4.9000000000000004</v>
      </c>
      <c r="H13" s="1">
        <v>5.5</v>
      </c>
      <c r="I13" s="1">
        <v>5.9</v>
      </c>
      <c r="J13" s="1">
        <v>6.1</v>
      </c>
      <c r="K13" s="1">
        <v>6.1</v>
      </c>
      <c r="L13" s="1">
        <v>6.4</v>
      </c>
      <c r="M13" s="1">
        <v>6.3</v>
      </c>
      <c r="N13" s="1">
        <v>10.8</v>
      </c>
      <c r="Q13" s="1">
        <v>6.9</v>
      </c>
      <c r="R13" s="1">
        <v>17.600000000000001</v>
      </c>
      <c r="S13" s="1">
        <v>22.4</v>
      </c>
      <c r="T13" s="1">
        <v>30.7</v>
      </c>
      <c r="U13" s="4"/>
      <c r="V13" s="4"/>
      <c r="W13" s="4"/>
      <c r="X13" s="4"/>
      <c r="Y13" s="4"/>
      <c r="Z13" s="4"/>
    </row>
    <row r="14" spans="1:26" x14ac:dyDescent="0.2">
      <c r="B14" s="1" t="s">
        <v>24</v>
      </c>
      <c r="F14" s="1">
        <v>0</v>
      </c>
      <c r="G14" s="1">
        <v>5.4</v>
      </c>
      <c r="H14" s="1">
        <v>5.7</v>
      </c>
      <c r="I14" s="1">
        <v>0.1</v>
      </c>
      <c r="J14" s="1">
        <v>14</v>
      </c>
      <c r="L14" s="1">
        <v>0</v>
      </c>
      <c r="N14" s="1">
        <v>20.9</v>
      </c>
      <c r="Q14" s="1">
        <v>30.2</v>
      </c>
      <c r="R14" s="1">
        <v>10.199999999999999</v>
      </c>
      <c r="S14" s="1">
        <v>25.3</v>
      </c>
      <c r="T14" s="1">
        <v>20.9</v>
      </c>
      <c r="U14" s="4"/>
      <c r="V14" s="4"/>
      <c r="W14" s="4"/>
      <c r="X14" s="4"/>
      <c r="Y14" s="4"/>
      <c r="Z14" s="4"/>
    </row>
    <row r="15" spans="1:26" x14ac:dyDescent="0.2">
      <c r="B15" s="1" t="s">
        <v>25</v>
      </c>
      <c r="F15" s="1">
        <v>8.1999999999999993</v>
      </c>
      <c r="G15" s="1">
        <v>7.8</v>
      </c>
      <c r="H15" s="1">
        <v>8.8000000000000007</v>
      </c>
      <c r="I15" s="1">
        <v>11.5</v>
      </c>
      <c r="J15" s="1">
        <v>8.6</v>
      </c>
      <c r="K15" s="1">
        <v>9.1999999999999993</v>
      </c>
      <c r="L15" s="1">
        <v>11.2</v>
      </c>
      <c r="M15" s="1">
        <v>12.2</v>
      </c>
      <c r="N15" s="1">
        <v>14.1</v>
      </c>
      <c r="Q15" s="1">
        <v>14.4</v>
      </c>
      <c r="R15" s="1">
        <v>30.9</v>
      </c>
      <c r="S15" s="1">
        <v>39.200000000000003</v>
      </c>
      <c r="T15" s="1">
        <v>46.7</v>
      </c>
      <c r="U15" s="4"/>
      <c r="V15" s="4"/>
      <c r="W15" s="4"/>
      <c r="X15" s="4"/>
      <c r="Y15" s="4"/>
      <c r="Z15" s="4"/>
    </row>
    <row r="16" spans="1:26" x14ac:dyDescent="0.2">
      <c r="B16" s="1" t="s">
        <v>26</v>
      </c>
      <c r="F16" s="1">
        <v>-6.3</v>
      </c>
      <c r="G16" s="1">
        <v>-8.4</v>
      </c>
      <c r="H16" s="1">
        <v>-4.2</v>
      </c>
      <c r="I16" s="1">
        <v>-6.8</v>
      </c>
      <c r="J16" s="1">
        <v>0.8</v>
      </c>
      <c r="K16" s="1">
        <v>-7</v>
      </c>
      <c r="L16" s="1">
        <v>-16.399999999999999</v>
      </c>
      <c r="M16" s="1">
        <v>-13.8</v>
      </c>
      <c r="N16" s="1">
        <v>-15.6</v>
      </c>
      <c r="Q16" s="1">
        <v>-12.5</v>
      </c>
      <c r="R16" s="1">
        <v>-9.3000000000000007</v>
      </c>
      <c r="S16" s="1">
        <v>-18.7</v>
      </c>
      <c r="T16" s="1">
        <v>-45.8</v>
      </c>
      <c r="U16" s="4"/>
      <c r="V16" s="4"/>
      <c r="W16" s="4"/>
      <c r="X16" s="4"/>
      <c r="Y16" s="4"/>
      <c r="Z16" s="4"/>
    </row>
    <row r="17" spans="2:26" x14ac:dyDescent="0.2">
      <c r="B17" s="1" t="s">
        <v>27</v>
      </c>
      <c r="F17" s="1">
        <v>-0.7</v>
      </c>
      <c r="G17" s="1">
        <v>-0.6</v>
      </c>
      <c r="H17" s="1">
        <v>0.1</v>
      </c>
      <c r="I17" s="1">
        <v>0</v>
      </c>
      <c r="J17" s="1">
        <v>-0.2</v>
      </c>
      <c r="K17" s="1">
        <v>-0.2</v>
      </c>
      <c r="L17" s="1">
        <v>-0.1</v>
      </c>
      <c r="M17" s="1">
        <v>-0.1</v>
      </c>
      <c r="N17" s="1">
        <v>-0.1</v>
      </c>
      <c r="Q17" s="1">
        <v>0</v>
      </c>
      <c r="R17" s="1">
        <v>-2.4</v>
      </c>
      <c r="S17" s="1">
        <v>-0.8</v>
      </c>
      <c r="T17" s="1">
        <v>-0.5</v>
      </c>
      <c r="U17" s="4"/>
      <c r="V17" s="4"/>
      <c r="W17" s="4"/>
      <c r="X17" s="4"/>
      <c r="Y17" s="4"/>
      <c r="Z17" s="4"/>
    </row>
    <row r="18" spans="2:26" x14ac:dyDescent="0.2">
      <c r="B18" s="1" t="s">
        <v>28</v>
      </c>
      <c r="F18" s="1">
        <v>-0.4</v>
      </c>
      <c r="G18" s="1">
        <v>-0.3</v>
      </c>
      <c r="H18" s="1">
        <v>0.7</v>
      </c>
      <c r="I18" s="1">
        <v>1</v>
      </c>
      <c r="J18" s="1">
        <v>-3.2</v>
      </c>
      <c r="K18" s="1">
        <v>-0.6</v>
      </c>
      <c r="L18" s="1">
        <v>-4.7</v>
      </c>
      <c r="M18" s="1">
        <v>-1.4</v>
      </c>
      <c r="N18" s="1">
        <v>-0.6</v>
      </c>
      <c r="Q18" s="1">
        <v>-0.3</v>
      </c>
      <c r="R18" s="1">
        <v>8.1</v>
      </c>
      <c r="S18" s="1">
        <v>-1.7</v>
      </c>
      <c r="T18" s="1">
        <v>-14.3</v>
      </c>
      <c r="U18" s="4"/>
      <c r="V18" s="4"/>
      <c r="W18" s="4"/>
      <c r="X18" s="4"/>
      <c r="Y18" s="4"/>
      <c r="Z18" s="4"/>
    </row>
    <row r="19" spans="2:26" x14ac:dyDescent="0.2">
      <c r="B19" s="1" t="s">
        <v>29</v>
      </c>
      <c r="C19" s="1">
        <f t="shared" ref="C19:L19" si="8">C10-SUM(C11:C15)+SUM(C16:C18)</f>
        <v>0</v>
      </c>
      <c r="D19" s="1">
        <f t="shared" si="8"/>
        <v>0</v>
      </c>
      <c r="E19" s="1">
        <f t="shared" si="8"/>
        <v>0</v>
      </c>
      <c r="F19" s="1">
        <f t="shared" si="8"/>
        <v>15.299999999999995</v>
      </c>
      <c r="G19" s="1">
        <f t="shared" si="8"/>
        <v>20.800000000000022</v>
      </c>
      <c r="H19" s="1">
        <f t="shared" si="8"/>
        <v>28.4</v>
      </c>
      <c r="I19" s="1">
        <f t="shared" si="8"/>
        <v>18.299999999999994</v>
      </c>
      <c r="J19" s="1">
        <f t="shared" si="8"/>
        <v>50.5</v>
      </c>
      <c r="K19" s="1">
        <f t="shared" si="8"/>
        <v>20.000000000000011</v>
      </c>
      <c r="L19" s="1">
        <f t="shared" si="8"/>
        <v>3.0999999999999979</v>
      </c>
      <c r="M19" s="1">
        <f>M10-SUM(M11:M15)+M16+M17+M18</f>
        <v>11.300000000000008</v>
      </c>
      <c r="N19" s="1">
        <f>N10-SUM(N11:N15)+N16+N17+N18</f>
        <v>59.200000000000024</v>
      </c>
      <c r="Q19" s="1">
        <f t="shared" ref="Q19:T19" si="9">Q10-SUM(Q11:Q15)+Q16+Q17+Q18</f>
        <v>121.59999999999998</v>
      </c>
      <c r="R19" s="1">
        <f t="shared" si="9"/>
        <v>102.50000000000001</v>
      </c>
      <c r="S19" s="1">
        <f t="shared" si="9"/>
        <v>117.69999999999997</v>
      </c>
      <c r="T19" s="1">
        <f t="shared" si="9"/>
        <v>92.399999999999949</v>
      </c>
      <c r="U19" s="4"/>
      <c r="V19" s="4"/>
      <c r="W19" s="4"/>
      <c r="X19" s="4"/>
      <c r="Y19" s="4"/>
      <c r="Z19" s="4"/>
    </row>
    <row r="20" spans="2:26" x14ac:dyDescent="0.2">
      <c r="B20" s="1" t="s">
        <v>30</v>
      </c>
      <c r="F20" s="1">
        <v>2.2000000000000002</v>
      </c>
      <c r="G20" s="1">
        <v>3.1</v>
      </c>
      <c r="H20" s="1">
        <v>-7.7</v>
      </c>
      <c r="I20" s="1">
        <v>-0.6</v>
      </c>
      <c r="J20" s="1">
        <v>2.2999999999999998</v>
      </c>
      <c r="K20" s="1">
        <v>4.2</v>
      </c>
      <c r="L20" s="1">
        <v>0.6</v>
      </c>
      <c r="M20" s="1">
        <v>8.3000000000000007</v>
      </c>
      <c r="N20" s="1">
        <v>2</v>
      </c>
      <c r="Q20" s="1">
        <v>0.4</v>
      </c>
      <c r="R20" s="1">
        <v>8.3000000000000007</v>
      </c>
      <c r="S20" s="1">
        <v>-2.8</v>
      </c>
      <c r="T20" s="1">
        <v>15.2</v>
      </c>
      <c r="U20" s="4"/>
      <c r="V20" s="4"/>
      <c r="W20" s="4"/>
      <c r="X20" s="4"/>
      <c r="Y20" s="4"/>
      <c r="Z20" s="4"/>
    </row>
    <row r="21" spans="2:26" x14ac:dyDescent="0.2">
      <c r="B21" s="1" t="s">
        <v>31</v>
      </c>
      <c r="C21" s="1">
        <f t="shared" ref="C21:I21" si="10">C19-C20</f>
        <v>0</v>
      </c>
      <c r="D21" s="1">
        <f t="shared" si="10"/>
        <v>0</v>
      </c>
      <c r="E21" s="1">
        <f t="shared" si="10"/>
        <v>0</v>
      </c>
      <c r="F21" s="1">
        <f t="shared" si="10"/>
        <v>13.099999999999994</v>
      </c>
      <c r="G21" s="1">
        <f t="shared" si="10"/>
        <v>17.700000000000021</v>
      </c>
      <c r="H21" s="1">
        <f t="shared" si="10"/>
        <v>36.1</v>
      </c>
      <c r="I21" s="1">
        <f t="shared" si="10"/>
        <v>18.899999999999995</v>
      </c>
      <c r="J21" s="1">
        <f>+J19-J20</f>
        <v>48.2</v>
      </c>
      <c r="K21" s="1">
        <f t="shared" ref="K21:L21" si="11">+K19-K20</f>
        <v>15.800000000000011</v>
      </c>
      <c r="L21" s="1">
        <f t="shared" si="11"/>
        <v>2.4999999999999978</v>
      </c>
      <c r="M21" s="1">
        <f>+M19-M20</f>
        <v>3.0000000000000071</v>
      </c>
      <c r="N21" s="1">
        <f>+N19-N20</f>
        <v>57.200000000000024</v>
      </c>
      <c r="Q21" s="1">
        <f t="shared" ref="Q21:T21" si="12">+Q19-Q20</f>
        <v>121.19999999999997</v>
      </c>
      <c r="R21" s="1">
        <f t="shared" si="12"/>
        <v>94.200000000000017</v>
      </c>
      <c r="S21" s="1">
        <f t="shared" si="12"/>
        <v>120.49999999999997</v>
      </c>
      <c r="T21" s="1">
        <f t="shared" si="12"/>
        <v>77.199999999999946</v>
      </c>
      <c r="U21" s="4"/>
      <c r="V21" s="4"/>
      <c r="W21" s="4"/>
      <c r="X21" s="4"/>
      <c r="Y21" s="4"/>
      <c r="Z21" s="4"/>
    </row>
    <row r="23" spans="2:26" x14ac:dyDescent="0.2">
      <c r="B23" s="1" t="s">
        <v>38</v>
      </c>
      <c r="K23" s="3">
        <f t="shared" ref="K23:M23" si="13">+K3/G3-1</f>
        <v>0.17216117216117222</v>
      </c>
      <c r="L23" s="3">
        <f t="shared" si="13"/>
        <v>0.42907801418439706</v>
      </c>
      <c r="M23" s="3">
        <f t="shared" si="13"/>
        <v>0.573943661971831</v>
      </c>
      <c r="N23" s="3">
        <f>+N3/J3-1</f>
        <v>0.3176100628930818</v>
      </c>
      <c r="R23" s="3">
        <f t="shared" ref="R23:S23" si="14">+R3/Q3-1</f>
        <v>0.14285714285714279</v>
      </c>
      <c r="S23" s="3">
        <f t="shared" si="14"/>
        <v>0.16911764705882359</v>
      </c>
      <c r="T23" s="3">
        <f>+T3/S3-1</f>
        <v>0.3176100628930818</v>
      </c>
      <c r="U23" s="3">
        <f t="shared" ref="U23:W23" si="15">+U3/T3-1</f>
        <v>0.19331742243436745</v>
      </c>
      <c r="V23" s="3">
        <f t="shared" si="15"/>
        <v>0.19999999999999996</v>
      </c>
      <c r="W23" s="3">
        <f t="shared" si="15"/>
        <v>0.16666666666666674</v>
      </c>
    </row>
    <row r="25" spans="2:26" x14ac:dyDescent="0.2">
      <c r="B25" s="1" t="s">
        <v>7</v>
      </c>
      <c r="R25" s="3">
        <f t="shared" ref="R25:S25" si="16">+R5/Q5-1</f>
        <v>0.54457498272287497</v>
      </c>
      <c r="S25" s="3">
        <f t="shared" si="16"/>
        <v>0.1315436241610739</v>
      </c>
      <c r="T25" s="3">
        <f>+T5/S5-1</f>
        <v>0.16211941478845371</v>
      </c>
    </row>
    <row r="26" spans="2:26" x14ac:dyDescent="0.2">
      <c r="B26" s="1" t="s">
        <v>8</v>
      </c>
      <c r="R26" s="3">
        <f t="shared" ref="R26:T28" si="17">+R6/Q6-1</f>
        <v>0.2448979591836733</v>
      </c>
      <c r="S26" s="3">
        <f t="shared" si="17"/>
        <v>-0.32786885245901642</v>
      </c>
      <c r="T26" s="3">
        <f t="shared" si="17"/>
        <v>2.3658536585365857</v>
      </c>
    </row>
    <row r="27" spans="2:26" x14ac:dyDescent="0.2">
      <c r="B27" s="1" t="s">
        <v>9</v>
      </c>
      <c r="R27" s="3">
        <f t="shared" si="17"/>
        <v>-0.67301231802911532</v>
      </c>
      <c r="S27" s="3">
        <f t="shared" si="17"/>
        <v>1.5582191780821919</v>
      </c>
      <c r="T27" s="3">
        <f t="shared" si="17"/>
        <v>-0.1606425702811245</v>
      </c>
    </row>
    <row r="28" spans="2:26" x14ac:dyDescent="0.2">
      <c r="B28" s="1" t="s">
        <v>10</v>
      </c>
      <c r="R28" s="3">
        <f t="shared" si="17"/>
        <v>5.0000000000000009</v>
      </c>
      <c r="S28" s="3">
        <f t="shared" si="17"/>
        <v>-0.3571428571428571</v>
      </c>
      <c r="T28" s="3">
        <f t="shared" si="17"/>
        <v>3.0370370370370372</v>
      </c>
    </row>
    <row r="29" spans="2:26" x14ac:dyDescent="0.2">
      <c r="B29" s="2" t="s">
        <v>36</v>
      </c>
      <c r="C29" s="2"/>
      <c r="D29" s="2"/>
      <c r="E29" s="2"/>
      <c r="F29" s="2"/>
      <c r="G29" s="2"/>
      <c r="H29" s="2"/>
      <c r="I29" s="2"/>
      <c r="J29" s="2"/>
      <c r="K29" s="5">
        <f t="shared" ref="K29" si="18">+K10/G10-1</f>
        <v>-0.12104539202200837</v>
      </c>
      <c r="L29" s="5">
        <f t="shared" ref="L29" si="19">+L10/H10-1</f>
        <v>-2.8497409326424861E-2</v>
      </c>
      <c r="M29" s="5">
        <f t="shared" ref="M29" si="20">+M10/I10-1</f>
        <v>0.22834645669291342</v>
      </c>
      <c r="N29" s="5">
        <f>+N10/J10-1</f>
        <v>0.40823634735899739</v>
      </c>
      <c r="O29" s="2"/>
      <c r="P29" s="2"/>
      <c r="Q29" s="2"/>
      <c r="R29" s="5">
        <f t="shared" ref="R29:S29" si="21">+R10/Q10-1</f>
        <v>9.9787685774947121E-2</v>
      </c>
      <c r="S29" s="5">
        <f t="shared" si="21"/>
        <v>0.26486486486486482</v>
      </c>
      <c r="T29" s="5">
        <f>+T10/S10-1</f>
        <v>0.14224664224664219</v>
      </c>
    </row>
    <row r="31" spans="2:26" x14ac:dyDescent="0.2">
      <c r="B31" s="1" t="s">
        <v>53</v>
      </c>
      <c r="Q31" s="4">
        <v>107.56100000000001</v>
      </c>
      <c r="R31" s="4">
        <v>77.936000000000007</v>
      </c>
      <c r="S31" s="4">
        <v>156.72499999999999</v>
      </c>
      <c r="T31" s="4"/>
    </row>
    <row r="32" spans="2:26" x14ac:dyDescent="0.2">
      <c r="B32" s="1" t="s">
        <v>54</v>
      </c>
      <c r="Q32" s="4">
        <f>1.551+0.292</f>
        <v>1.843</v>
      </c>
      <c r="R32" s="4">
        <f>5.439+1.273</f>
        <v>6.7119999999999997</v>
      </c>
      <c r="S32" s="4">
        <f>5.87+0.992</f>
        <v>6.8620000000000001</v>
      </c>
      <c r="T32" s="4"/>
    </row>
    <row r="33" spans="2:20" x14ac:dyDescent="0.2">
      <c r="B33" s="2" t="s">
        <v>55</v>
      </c>
      <c r="C33" s="2"/>
      <c r="D33" s="2"/>
      <c r="E33" s="2"/>
      <c r="F33" s="2"/>
      <c r="G33" s="2"/>
      <c r="H33" s="2"/>
      <c r="I33" s="2"/>
      <c r="J33" s="2"/>
      <c r="K33" s="2"/>
      <c r="L33" s="2"/>
      <c r="M33" s="2"/>
      <c r="N33" s="2"/>
      <c r="O33" s="2"/>
      <c r="P33" s="2"/>
      <c r="Q33" s="8">
        <f t="shared" ref="Q33:R33" si="22">+Q31-Q32</f>
        <v>105.718</v>
      </c>
      <c r="R33" s="8">
        <f t="shared" si="22"/>
        <v>71.224000000000004</v>
      </c>
      <c r="S33" s="8">
        <f>+S31-S32</f>
        <v>149.863</v>
      </c>
      <c r="T33" s="4"/>
    </row>
    <row r="35" spans="2:20" x14ac:dyDescent="0.2">
      <c r="B35" s="1" t="s">
        <v>56</v>
      </c>
      <c r="Q35" s="4"/>
      <c r="R35" s="4">
        <v>26519</v>
      </c>
      <c r="S35" s="4">
        <v>16050</v>
      </c>
      <c r="T35" s="4">
        <v>33400</v>
      </c>
    </row>
    <row r="36" spans="2:20" x14ac:dyDescent="0.2">
      <c r="B36" s="1" t="s">
        <v>57</v>
      </c>
      <c r="Q36" s="4"/>
      <c r="R36" s="4">
        <v>285855</v>
      </c>
      <c r="S36" s="4">
        <v>204510</v>
      </c>
      <c r="T36" s="4">
        <v>59000</v>
      </c>
    </row>
    <row r="37" spans="2:20" x14ac:dyDescent="0.2">
      <c r="B37" s="1" t="s">
        <v>58</v>
      </c>
      <c r="Q37" s="4"/>
      <c r="R37" s="4">
        <v>23639</v>
      </c>
      <c r="S37" s="4">
        <v>17055</v>
      </c>
      <c r="T37" s="4">
        <v>18700</v>
      </c>
    </row>
    <row r="38" spans="2:20" x14ac:dyDescent="0.2">
      <c r="B38" s="1" t="s">
        <v>59</v>
      </c>
      <c r="Q38" s="4"/>
      <c r="R38" s="4">
        <f>125405+6254</f>
        <v>131659</v>
      </c>
      <c r="S38" s="4">
        <f>127363+14900</f>
        <v>142263</v>
      </c>
      <c r="T38" s="4">
        <f>223200+16400</f>
        <v>239600</v>
      </c>
    </row>
    <row r="39" spans="2:20" x14ac:dyDescent="0.2">
      <c r="B39" s="1" t="s">
        <v>60</v>
      </c>
      <c r="Q39" s="4"/>
      <c r="R39" s="4">
        <f>5693+947</f>
        <v>6640</v>
      </c>
      <c r="S39" s="4">
        <f>17614+1972</f>
        <v>19586</v>
      </c>
      <c r="T39" s="4">
        <f>6000+1600</f>
        <v>7600</v>
      </c>
    </row>
    <row r="40" spans="2:20" x14ac:dyDescent="0.2">
      <c r="B40" s="1" t="s">
        <v>61</v>
      </c>
      <c r="Q40" s="4"/>
      <c r="R40" s="4">
        <v>5672</v>
      </c>
      <c r="S40" s="4">
        <v>4014</v>
      </c>
      <c r="T40" s="4">
        <v>16000</v>
      </c>
    </row>
    <row r="41" spans="2:20" x14ac:dyDescent="0.2">
      <c r="B41" s="1" t="s">
        <v>62</v>
      </c>
      <c r="Q41" s="4"/>
      <c r="R41" s="4">
        <v>6853</v>
      </c>
      <c r="S41" s="4">
        <v>11781</v>
      </c>
      <c r="T41" s="4">
        <v>14400</v>
      </c>
    </row>
    <row r="42" spans="2:20" x14ac:dyDescent="0.2">
      <c r="B42" s="1" t="s">
        <v>63</v>
      </c>
      <c r="Q42" s="4"/>
      <c r="R42" s="4">
        <v>6322</v>
      </c>
      <c r="S42" s="4">
        <v>3206</v>
      </c>
      <c r="T42" s="4"/>
    </row>
    <row r="43" spans="2:20" x14ac:dyDescent="0.2">
      <c r="B43" s="1" t="s">
        <v>64</v>
      </c>
      <c r="Q43" s="4"/>
      <c r="R43" s="4">
        <v>1749</v>
      </c>
      <c r="S43" s="4">
        <v>15472</v>
      </c>
      <c r="T43" s="4"/>
    </row>
    <row r="44" spans="2:20" x14ac:dyDescent="0.2">
      <c r="B44" s="1" t="s">
        <v>65</v>
      </c>
      <c r="Q44" s="4"/>
      <c r="R44" s="4">
        <v>1948</v>
      </c>
      <c r="S44" s="4">
        <v>3798</v>
      </c>
      <c r="T44" s="4"/>
    </row>
    <row r="45" spans="2:20" x14ac:dyDescent="0.2">
      <c r="B45" s="1" t="s">
        <v>66</v>
      </c>
      <c r="Q45" s="4"/>
      <c r="R45" s="4">
        <v>35257</v>
      </c>
      <c r="S45" s="4">
        <v>57735</v>
      </c>
      <c r="T45" s="4"/>
    </row>
    <row r="46" spans="2:20" x14ac:dyDescent="0.2">
      <c r="B46" s="1" t="s">
        <v>67</v>
      </c>
      <c r="Q46" s="4"/>
      <c r="R46" s="4">
        <v>7977</v>
      </c>
      <c r="S46" s="4">
        <v>911</v>
      </c>
      <c r="T46" s="4"/>
    </row>
    <row r="47" spans="2:20" x14ac:dyDescent="0.2">
      <c r="B47" s="1" t="s">
        <v>68</v>
      </c>
      <c r="Q47" s="4"/>
      <c r="R47" s="4">
        <v>24627</v>
      </c>
      <c r="S47" s="4">
        <v>28185</v>
      </c>
      <c r="T47" s="4"/>
    </row>
    <row r="48" spans="2:20" x14ac:dyDescent="0.2">
      <c r="B48" s="1" t="s">
        <v>69</v>
      </c>
      <c r="Q48" s="4"/>
      <c r="R48" s="4">
        <v>411521</v>
      </c>
      <c r="S48" s="4">
        <v>487012</v>
      </c>
      <c r="T48" s="4"/>
    </row>
    <row r="49" spans="2:20" x14ac:dyDescent="0.2">
      <c r="B49" s="2" t="s">
        <v>70</v>
      </c>
      <c r="C49" s="2"/>
      <c r="D49" s="2"/>
      <c r="E49" s="2"/>
      <c r="F49" s="2"/>
      <c r="G49" s="2"/>
      <c r="H49" s="2"/>
      <c r="I49" s="2"/>
      <c r="J49" s="2"/>
      <c r="K49" s="2"/>
      <c r="L49" s="2"/>
      <c r="M49" s="2"/>
      <c r="N49" s="2"/>
      <c r="O49" s="2"/>
      <c r="P49" s="2"/>
      <c r="Q49" s="8"/>
      <c r="R49" s="8">
        <f t="shared" ref="R49" si="23">+SUM(R35:R48)</f>
        <v>976238</v>
      </c>
      <c r="S49" s="8">
        <f>+SUM(S35:S48)</f>
        <v>1011578</v>
      </c>
      <c r="T49" s="4"/>
    </row>
    <row r="50" spans="2:20" x14ac:dyDescent="0.2">
      <c r="Q50" s="4"/>
      <c r="R50" s="4"/>
      <c r="S50" s="4"/>
      <c r="T50" s="4"/>
    </row>
    <row r="51" spans="2:20" x14ac:dyDescent="0.2">
      <c r="B51" s="1" t="s">
        <v>71</v>
      </c>
      <c r="Q51" s="4"/>
      <c r="R51" s="4">
        <v>23639</v>
      </c>
      <c r="S51" s="4">
        <v>17055</v>
      </c>
      <c r="T51" s="4"/>
    </row>
    <row r="52" spans="2:20" x14ac:dyDescent="0.2">
      <c r="B52" s="1" t="s">
        <v>72</v>
      </c>
      <c r="Q52" s="4"/>
      <c r="R52" s="4">
        <f>33187+33414</f>
        <v>66601</v>
      </c>
      <c r="S52" s="4">
        <f>59087+42853</f>
        <v>101940</v>
      </c>
      <c r="T52" s="4"/>
    </row>
    <row r="53" spans="2:20" x14ac:dyDescent="0.2">
      <c r="B53" s="1" t="s">
        <v>73</v>
      </c>
      <c r="Q53" s="4"/>
      <c r="R53" s="4">
        <v>27076</v>
      </c>
      <c r="S53" s="4">
        <v>28772</v>
      </c>
      <c r="T53" s="4"/>
    </row>
    <row r="54" spans="2:20" x14ac:dyDescent="0.2">
      <c r="B54" s="1" t="s">
        <v>74</v>
      </c>
      <c r="Q54" s="4"/>
      <c r="R54" s="4">
        <v>878</v>
      </c>
      <c r="S54" s="4">
        <v>3902</v>
      </c>
      <c r="T54" s="4"/>
    </row>
    <row r="55" spans="2:20" x14ac:dyDescent="0.2">
      <c r="B55" s="1" t="s">
        <v>75</v>
      </c>
      <c r="Q55" s="4"/>
      <c r="R55" s="4">
        <f>10370+2080</f>
        <v>12450</v>
      </c>
      <c r="S55" s="4">
        <f>9352+22577</f>
        <v>31929</v>
      </c>
      <c r="T55" s="4"/>
    </row>
    <row r="56" spans="2:20" x14ac:dyDescent="0.2">
      <c r="B56" s="1" t="s">
        <v>63</v>
      </c>
      <c r="Q56" s="4"/>
      <c r="R56" s="4">
        <v>1053</v>
      </c>
      <c r="S56" s="4">
        <v>321</v>
      </c>
      <c r="T56" s="4"/>
    </row>
    <row r="57" spans="2:20" x14ac:dyDescent="0.2">
      <c r="B57" s="1" t="s">
        <v>76</v>
      </c>
      <c r="Q57" s="4"/>
      <c r="R57" s="4">
        <v>234145</v>
      </c>
      <c r="S57" s="4">
        <v>187356</v>
      </c>
      <c r="T57" s="4"/>
    </row>
    <row r="58" spans="2:20" x14ac:dyDescent="0.2">
      <c r="B58" s="1" t="s">
        <v>77</v>
      </c>
      <c r="Q58" s="4"/>
      <c r="R58" s="4">
        <v>73428</v>
      </c>
      <c r="S58" s="4">
        <f>81588+11338</f>
        <v>92926</v>
      </c>
      <c r="T58" s="4"/>
    </row>
    <row r="59" spans="2:20" x14ac:dyDescent="0.2">
      <c r="B59" s="1" t="s">
        <v>80</v>
      </c>
      <c r="Q59" s="4"/>
      <c r="R59" s="4">
        <v>1724</v>
      </c>
      <c r="S59" s="4">
        <v>2946</v>
      </c>
      <c r="T59" s="4"/>
    </row>
    <row r="60" spans="2:20" x14ac:dyDescent="0.2">
      <c r="B60" s="1" t="s">
        <v>78</v>
      </c>
      <c r="Q60" s="4"/>
      <c r="R60" s="4">
        <v>7652</v>
      </c>
      <c r="S60" s="4">
        <v>10065</v>
      </c>
      <c r="T60" s="4"/>
    </row>
    <row r="61" spans="2:20" x14ac:dyDescent="0.2">
      <c r="B61" s="1" t="s">
        <v>81</v>
      </c>
      <c r="Q61" s="4"/>
      <c r="R61" s="4">
        <v>14134</v>
      </c>
      <c r="S61" s="4">
        <v>13024</v>
      </c>
      <c r="T61" s="4"/>
    </row>
    <row r="62" spans="2:20" x14ac:dyDescent="0.2">
      <c r="B62" s="2" t="s">
        <v>79</v>
      </c>
      <c r="C62" s="2"/>
      <c r="D62" s="2"/>
      <c r="E62" s="2"/>
      <c r="F62" s="2"/>
      <c r="G62" s="2"/>
      <c r="H62" s="2"/>
      <c r="I62" s="2"/>
      <c r="J62" s="2"/>
      <c r="K62" s="2"/>
      <c r="L62" s="2"/>
      <c r="M62" s="2"/>
      <c r="N62" s="2"/>
      <c r="O62" s="2"/>
      <c r="P62" s="2"/>
      <c r="Q62" s="8"/>
      <c r="R62" s="8">
        <f t="shared" ref="R62" si="24">+SUM(R51:R61)</f>
        <v>462780</v>
      </c>
      <c r="S62" s="8">
        <f>+SUM(S51:S61)</f>
        <v>490236</v>
      </c>
      <c r="T62" s="4"/>
    </row>
    <row r="63" spans="2:20" x14ac:dyDescent="0.2">
      <c r="T63" s="4"/>
    </row>
    <row r="64" spans="2:20" x14ac:dyDescent="0.2">
      <c r="B64" s="2" t="s">
        <v>82</v>
      </c>
      <c r="R64" s="8">
        <f t="shared" ref="R64" si="25">+R49-R62</f>
        <v>513458</v>
      </c>
      <c r="S64" s="8">
        <f>+S49-S62</f>
        <v>521342</v>
      </c>
      <c r="T64" s="4"/>
    </row>
  </sheetData>
  <hyperlinks>
    <hyperlink ref="A1" location="Sheet1!A1" display="main" xr:uid="{F7A45131-14A8-4788-8333-58A15DD5E1E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2024-02-13T10:28:01Z</dcterms:created>
  <dcterms:modified xsi:type="dcterms:W3CDTF">2025-03-09T22:42:28Z</dcterms:modified>
</cp:coreProperties>
</file>