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256" documentId="8_{A9F9C597-4681-4B27-B1AD-84A0C9A874E3}" xr6:coauthVersionLast="47" xr6:coauthVersionMax="47" xr10:uidLastSave="{92577C08-565E-469D-8DFA-48F744A3139F}"/>
  <bookViews>
    <workbookView xWindow="2328" yWindow="2916" windowWidth="17280" windowHeight="8988" xr2:uid="{3D4C66B2-7B3D-41F9-BE25-D479C2260E7F}"/>
  </bookViews>
  <sheets>
    <sheet name="main" sheetId="1" r:id="rId1"/>
    <sheet name="model" sheetId="2" r:id="rId2"/>
    <sheet name="Mana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6" i="1" s="1"/>
  <c r="J9" i="1" s="1"/>
  <c r="I6" i="2"/>
  <c r="L38" i="2"/>
  <c r="M38" i="2"/>
  <c r="K12" i="3"/>
  <c r="K11" i="3"/>
  <c r="K10" i="3"/>
  <c r="K9" i="3"/>
  <c r="K8" i="3"/>
  <c r="K7" i="3"/>
  <c r="K6" i="3"/>
  <c r="K5" i="3"/>
  <c r="K4" i="3"/>
  <c r="V7" i="2"/>
  <c r="U7" i="2"/>
  <c r="T7" i="2"/>
  <c r="S7" i="2"/>
  <c r="R7" i="2"/>
  <c r="Q7" i="2"/>
  <c r="P7" i="2"/>
  <c r="O7" i="2"/>
  <c r="N7" i="2"/>
  <c r="P3" i="2"/>
  <c r="Q3" i="2" s="1"/>
  <c r="R3" i="2" s="1"/>
  <c r="S3" i="2" s="1"/>
  <c r="T3" i="2" s="1"/>
  <c r="U3" i="2" s="1"/>
  <c r="V3" i="2" s="1"/>
  <c r="O3" i="2"/>
  <c r="N17" i="2"/>
  <c r="O14" i="2"/>
  <c r="P14" i="2" s="1"/>
  <c r="Q14" i="2" s="1"/>
  <c r="R14" i="2" s="1"/>
  <c r="S14" i="2" s="1"/>
  <c r="T14" i="2" s="1"/>
  <c r="U14" i="2" s="1"/>
  <c r="V14" i="2" s="1"/>
  <c r="N14" i="2"/>
  <c r="O12" i="2"/>
  <c r="P12" i="2" s="1"/>
  <c r="Q12" i="2" s="1"/>
  <c r="R12" i="2" s="1"/>
  <c r="S12" i="2" s="1"/>
  <c r="T12" i="2" s="1"/>
  <c r="U12" i="2" s="1"/>
  <c r="V12" i="2" s="1"/>
  <c r="N12" i="2"/>
  <c r="O11" i="2"/>
  <c r="P11" i="2" s="1"/>
  <c r="Q11" i="2" s="1"/>
  <c r="R11" i="2" s="1"/>
  <c r="S11" i="2" s="1"/>
  <c r="T11" i="2" s="1"/>
  <c r="U11" i="2" s="1"/>
  <c r="V11" i="2" s="1"/>
  <c r="O10" i="2"/>
  <c r="P10" i="2" s="1"/>
  <c r="Q10" i="2" s="1"/>
  <c r="R10" i="2" s="1"/>
  <c r="S10" i="2" s="1"/>
  <c r="T10" i="2" s="1"/>
  <c r="U10" i="2" s="1"/>
  <c r="V10" i="2" s="1"/>
  <c r="N11" i="2"/>
  <c r="N10" i="2"/>
  <c r="P4" i="2"/>
  <c r="Q4" i="2" s="1"/>
  <c r="O4" i="2"/>
  <c r="N9" i="2"/>
  <c r="I27" i="2"/>
  <c r="H27" i="2"/>
  <c r="G27" i="2"/>
  <c r="F27" i="2"/>
  <c r="E27" i="2"/>
  <c r="D27" i="2"/>
  <c r="C27" i="2"/>
  <c r="L27" i="2"/>
  <c r="K27" i="2"/>
  <c r="M27" i="2"/>
  <c r="N4" i="2"/>
  <c r="O25" i="2" s="1"/>
  <c r="N3" i="2"/>
  <c r="H32" i="2"/>
  <c r="G32" i="2"/>
  <c r="F32" i="2"/>
  <c r="E32" i="2"/>
  <c r="D32" i="2"/>
  <c r="C32" i="2"/>
  <c r="I32" i="2"/>
  <c r="I26" i="2"/>
  <c r="I25" i="2"/>
  <c r="I24" i="2"/>
  <c r="F15" i="2"/>
  <c r="E15" i="2"/>
  <c r="D15" i="2"/>
  <c r="C15" i="2"/>
  <c r="F6" i="2"/>
  <c r="F8" i="2" s="1"/>
  <c r="E6" i="2"/>
  <c r="E8" i="2" s="1"/>
  <c r="E16" i="2" s="1"/>
  <c r="E18" i="2" s="1"/>
  <c r="E20" i="2" s="1"/>
  <c r="E22" i="2" s="1"/>
  <c r="D6" i="2"/>
  <c r="D8" i="2" s="1"/>
  <c r="C6" i="2"/>
  <c r="C8" i="2" s="1"/>
  <c r="C16" i="2" s="1"/>
  <c r="C18" i="2" s="1"/>
  <c r="C20" i="2" s="1"/>
  <c r="C22" i="2" s="1"/>
  <c r="I15" i="2"/>
  <c r="I8" i="2"/>
  <c r="H15" i="2"/>
  <c r="G15" i="2"/>
  <c r="H6" i="2"/>
  <c r="H8" i="2" s="1"/>
  <c r="H16" i="2" s="1"/>
  <c r="H18" i="2" s="1"/>
  <c r="H20" i="2" s="1"/>
  <c r="H22" i="2" s="1"/>
  <c r="G6" i="2"/>
  <c r="G8" i="2" s="1"/>
  <c r="M35" i="2"/>
  <c r="M32" i="2"/>
  <c r="L32" i="2"/>
  <c r="L33" i="2" s="1"/>
  <c r="K32" i="2"/>
  <c r="M25" i="2"/>
  <c r="L25" i="2"/>
  <c r="L24" i="2"/>
  <c r="M24" i="2"/>
  <c r="M15" i="2"/>
  <c r="L15" i="2"/>
  <c r="K15" i="2"/>
  <c r="O6" i="2"/>
  <c r="M6" i="2"/>
  <c r="M8" i="2" s="1"/>
  <c r="L6" i="2"/>
  <c r="K6" i="2"/>
  <c r="K8" i="2" s="1"/>
  <c r="K16" i="2" s="1"/>
  <c r="K18" i="2" s="1"/>
  <c r="K20" i="2" s="1"/>
  <c r="K22" i="2" s="1"/>
  <c r="M1" i="2"/>
  <c r="N1" i="2" s="1"/>
  <c r="O1" i="2" s="1"/>
  <c r="P1" i="2" s="1"/>
  <c r="Q1" i="2" s="1"/>
  <c r="R1" i="2" s="1"/>
  <c r="S1" i="2" s="1"/>
  <c r="T1" i="2" s="1"/>
  <c r="U1" i="2" s="1"/>
  <c r="V1" i="2" s="1"/>
  <c r="J7" i="1"/>
  <c r="P6" i="2" l="1"/>
  <c r="O24" i="2"/>
  <c r="O8" i="2"/>
  <c r="O27" i="2" s="1"/>
  <c r="N15" i="2"/>
  <c r="P25" i="2"/>
  <c r="Q24" i="2"/>
  <c r="Q6" i="2"/>
  <c r="R4" i="2"/>
  <c r="Q25" i="2"/>
  <c r="P24" i="2"/>
  <c r="O9" i="2"/>
  <c r="O15" i="2" s="1"/>
  <c r="N24" i="2"/>
  <c r="F16" i="2"/>
  <c r="F18" i="2" s="1"/>
  <c r="F20" i="2" s="1"/>
  <c r="F22" i="2" s="1"/>
  <c r="N25" i="2"/>
  <c r="N6" i="2"/>
  <c r="I16" i="2"/>
  <c r="I18" i="2" s="1"/>
  <c r="I20" i="2" s="1"/>
  <c r="I22" i="2" s="1"/>
  <c r="D16" i="2"/>
  <c r="D18" i="2" s="1"/>
  <c r="D20" i="2" s="1"/>
  <c r="D22" i="2" s="1"/>
  <c r="G16" i="2"/>
  <c r="G18" i="2" s="1"/>
  <c r="G20" i="2" s="1"/>
  <c r="G22" i="2" s="1"/>
  <c r="L26" i="2"/>
  <c r="L8" i="2"/>
  <c r="L16" i="2" s="1"/>
  <c r="L18" i="2" s="1"/>
  <c r="L20" i="2" s="1"/>
  <c r="L22" i="2" s="1"/>
  <c r="M33" i="2"/>
  <c r="M16" i="2"/>
  <c r="M18" i="2" s="1"/>
  <c r="M20" i="2" s="1"/>
  <c r="M22" i="2" s="1"/>
  <c r="M26" i="2"/>
  <c r="Q26" i="2" l="1"/>
  <c r="P26" i="2"/>
  <c r="P9" i="2"/>
  <c r="P15" i="2" s="1"/>
  <c r="O16" i="2"/>
  <c r="P8" i="2"/>
  <c r="P27" i="2" s="1"/>
  <c r="S4" i="2"/>
  <c r="R25" i="2"/>
  <c r="R24" i="2"/>
  <c r="R6" i="2"/>
  <c r="Q8" i="2"/>
  <c r="Q9" i="2"/>
  <c r="Q15" i="2" s="1"/>
  <c r="N8" i="2"/>
  <c r="N26" i="2"/>
  <c r="O26" i="2"/>
  <c r="P16" i="2" l="1"/>
  <c r="N16" i="2"/>
  <c r="N18" i="2" s="1"/>
  <c r="N19" i="2" s="1"/>
  <c r="N20" i="2" s="1"/>
  <c r="N27" i="2"/>
  <c r="Q27" i="2"/>
  <c r="Q16" i="2"/>
  <c r="R8" i="2"/>
  <c r="R9" i="2"/>
  <c r="R15" i="2" s="1"/>
  <c r="R26" i="2"/>
  <c r="S24" i="2"/>
  <c r="S6" i="2"/>
  <c r="T4" i="2"/>
  <c r="S25" i="2"/>
  <c r="N35" i="2" l="1"/>
  <c r="N22" i="2"/>
  <c r="T24" i="2"/>
  <c r="T6" i="2"/>
  <c r="S8" i="2"/>
  <c r="S9" i="2"/>
  <c r="S15" i="2" s="1"/>
  <c r="S26" i="2"/>
  <c r="R27" i="2"/>
  <c r="R16" i="2"/>
  <c r="T25" i="2"/>
  <c r="U4" i="2"/>
  <c r="O17" i="2" l="1"/>
  <c r="O18" i="2" s="1"/>
  <c r="O19" i="2" s="1"/>
  <c r="O20" i="2" s="1"/>
  <c r="O22" i="2" s="1"/>
  <c r="V4" i="2"/>
  <c r="V25" i="2" s="1"/>
  <c r="U25" i="2"/>
  <c r="T26" i="2"/>
  <c r="T9" i="2"/>
  <c r="T15" i="2" s="1"/>
  <c r="T8" i="2"/>
  <c r="S27" i="2"/>
  <c r="S16" i="2"/>
  <c r="U24" i="2"/>
  <c r="U6" i="2"/>
  <c r="O35" i="2" l="1"/>
  <c r="U8" i="2"/>
  <c r="U9" i="2"/>
  <c r="U15" i="2" s="1"/>
  <c r="U26" i="2"/>
  <c r="V6" i="2"/>
  <c r="V24" i="2"/>
  <c r="T27" i="2"/>
  <c r="T16" i="2"/>
  <c r="P17" i="2" l="1"/>
  <c r="P18" i="2" s="1"/>
  <c r="P19" i="2" s="1"/>
  <c r="P20" i="2" s="1"/>
  <c r="P22" i="2" s="1"/>
  <c r="U27" i="2"/>
  <c r="U16" i="2"/>
  <c r="V8" i="2"/>
  <c r="V9" i="2"/>
  <c r="V15" i="2" s="1"/>
  <c r="V26" i="2"/>
  <c r="P35" i="2" l="1"/>
  <c r="Q17" i="2" s="1"/>
  <c r="Q18" i="2" s="1"/>
  <c r="Q19" i="2" s="1"/>
  <c r="Q20" i="2" s="1"/>
  <c r="Q22" i="2" s="1"/>
  <c r="V27" i="2"/>
  <c r="V16" i="2"/>
  <c r="Q35" i="2" l="1"/>
  <c r="R17" i="2" s="1"/>
  <c r="R18" i="2" s="1"/>
  <c r="R19" i="2" s="1"/>
  <c r="R20" i="2" s="1"/>
  <c r="R22" i="2" s="1"/>
  <c r="R35" i="2" l="1"/>
  <c r="S17" i="2" s="1"/>
  <c r="S18" i="2" s="1"/>
  <c r="S19" i="2" s="1"/>
  <c r="S20" i="2" s="1"/>
  <c r="S22" i="2" s="1"/>
  <c r="S35" i="2" l="1"/>
  <c r="T17" i="2" s="1"/>
  <c r="T18" i="2" s="1"/>
  <c r="T19" i="2" l="1"/>
  <c r="T20" i="2" s="1"/>
  <c r="T22" i="2" l="1"/>
  <c r="T35" i="2"/>
  <c r="U17" i="2" l="1"/>
  <c r="U18" i="2" s="1"/>
  <c r="U19" i="2" l="1"/>
  <c r="U20" i="2" s="1"/>
  <c r="U22" i="2" l="1"/>
  <c r="U35" i="2"/>
  <c r="V17" i="2" l="1"/>
  <c r="V18" i="2" s="1"/>
  <c r="V19" i="2" l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Y5" i="2" s="1"/>
  <c r="Y6" i="2" s="1"/>
  <c r="V22" i="2" l="1"/>
  <c r="V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</author>
  </authors>
  <commentList>
    <comment ref="N6" authorId="0" shapeId="0" xr:uid="{19FDB88D-D77C-433B-A108-92F1C5144EF8}">
      <text>
        <r>
          <rPr>
            <b/>
            <sz val="9"/>
            <color indexed="81"/>
            <rFont val="Tahoma"/>
            <family val="2"/>
          </rPr>
          <t>alexa:</t>
        </r>
        <r>
          <rPr>
            <sz val="9"/>
            <color indexed="81"/>
            <rFont val="Tahoma"/>
            <family val="2"/>
          </rPr>
          <t xml:space="preserve">
490-510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<sst xmlns="http://schemas.openxmlformats.org/spreadsheetml/2006/main" count="94" uniqueCount="82">
  <si>
    <t>Ticket</t>
  </si>
  <si>
    <t>Price</t>
  </si>
  <si>
    <t>Shares</t>
  </si>
  <si>
    <t>MC</t>
  </si>
  <si>
    <t>Cash</t>
  </si>
  <si>
    <t>Debt</t>
  </si>
  <si>
    <t>EV</t>
  </si>
  <si>
    <t>main</t>
  </si>
  <si>
    <t>Display Ads</t>
  </si>
  <si>
    <t>Search Ads</t>
  </si>
  <si>
    <t>Revenue</t>
  </si>
  <si>
    <t>COGS</t>
  </si>
  <si>
    <t>Gross Profit</t>
  </si>
  <si>
    <t>TAC</t>
  </si>
  <si>
    <t>R&amp;D</t>
  </si>
  <si>
    <t>S&amp;M</t>
  </si>
  <si>
    <t>G&amp;A</t>
  </si>
  <si>
    <t xml:space="preserve">Change in FV </t>
  </si>
  <si>
    <t>D&amp;A</t>
  </si>
  <si>
    <t>Total Opex</t>
  </si>
  <si>
    <t>Operating Income</t>
  </si>
  <si>
    <t>Financial income</t>
  </si>
  <si>
    <t>Pretax Income</t>
  </si>
  <si>
    <t>Taxes</t>
  </si>
  <si>
    <t>Net Income</t>
  </si>
  <si>
    <t>EPS</t>
  </si>
  <si>
    <t>Revenue y/y</t>
  </si>
  <si>
    <t>CFFO</t>
  </si>
  <si>
    <t>SBC</t>
  </si>
  <si>
    <t>CAPEX</t>
  </si>
  <si>
    <t>FCF</t>
  </si>
  <si>
    <t>y/y</t>
  </si>
  <si>
    <t>Net Cash</t>
  </si>
  <si>
    <t xml:space="preserve">Name </t>
  </si>
  <si>
    <t>Eyal Kaplan</t>
  </si>
  <si>
    <t>Age</t>
  </si>
  <si>
    <t>Position</t>
  </si>
  <si>
    <t>Tal Jacobson</t>
  </si>
  <si>
    <t>Maoz Sigron</t>
  </si>
  <si>
    <t>Michal Drayman</t>
  </si>
  <si>
    <t>Amir Guy</t>
  </si>
  <si>
    <t>Rami Schwartz</t>
  </si>
  <si>
    <t>Michael Vorhaus</t>
  </si>
  <si>
    <t>Joy Marcus</t>
  </si>
  <si>
    <t>Daniel E. Aks</t>
  </si>
  <si>
    <t xml:space="preserve">Chairmain of the Board of Directors </t>
  </si>
  <si>
    <t>CEO, Director</t>
  </si>
  <si>
    <t>CFO</t>
  </si>
  <si>
    <t>Director</t>
  </si>
  <si>
    <t>President, Undertone</t>
  </si>
  <si>
    <t>Joined</t>
  </si>
  <si>
    <t>Israel</t>
  </si>
  <si>
    <t>Country</t>
  </si>
  <si>
    <t>COO</t>
  </si>
  <si>
    <t>Elad Tzubery</t>
  </si>
  <si>
    <t>Q2 2024</t>
  </si>
  <si>
    <t>Q1 2023</t>
  </si>
  <si>
    <t>Q2 2023</t>
  </si>
  <si>
    <t>Q3 2023</t>
  </si>
  <si>
    <t>Q4 2023</t>
  </si>
  <si>
    <t>Q1 2024</t>
  </si>
  <si>
    <t>Gross Margin</t>
  </si>
  <si>
    <t>ROIC</t>
  </si>
  <si>
    <t xml:space="preserve">Discount </t>
  </si>
  <si>
    <t xml:space="preserve">Maturity </t>
  </si>
  <si>
    <t>NPV</t>
  </si>
  <si>
    <t>% Ownership</t>
  </si>
  <si>
    <t>Salary</t>
  </si>
  <si>
    <t>Bonus</t>
  </si>
  <si>
    <t>Equity Comp</t>
  </si>
  <si>
    <t>Total</t>
  </si>
  <si>
    <t>Founder</t>
  </si>
  <si>
    <t>Founded</t>
  </si>
  <si>
    <t>CEO</t>
  </si>
  <si>
    <t>HQ</t>
  </si>
  <si>
    <t>IPO</t>
  </si>
  <si>
    <t>Industry</t>
  </si>
  <si>
    <t>Digital Ads</t>
  </si>
  <si>
    <t>Holon, Israel</t>
  </si>
  <si>
    <t>Employees</t>
  </si>
  <si>
    <t>Notes:</t>
  </si>
  <si>
    <t>2nd largest CTV Ad Platform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</si>
</sst>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0.0%"/>
    <numFmt numFmtId="167" formatCode="#,##0_ ;\-#,##0\ 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165" fontId="1" fillId="0" borderId="0" xfId="0" applyNumberFormat="1" applyFont="1"/>
    <xf numFmtId="9" fontId="1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0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0</xdr:row>
      <xdr:rowOff>15240</xdr:rowOff>
    </xdr:from>
    <xdr:to>
      <xdr:col>12</xdr:col>
      <xdr:colOff>601980</xdr:colOff>
      <xdr:row>44</xdr:row>
      <xdr:rowOff>160020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FFD070-7F05-FC6B-27EC-921079AEFEEB}"/>
            </a:ext>
          </a:extLst>
        </xdr:cNvPr>
        <xdr:cNvCxnSpPr/>
      </xdr:nvCxnSpPr>
      <xdr:spPr>
        <a:xfrm>
          <a:off x="6278880" y="15240"/>
          <a:ext cx="0" cy="73685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https://www.bing.com/financeapi/forcetrigger?t=a1zpcw&amp;q=XNAS%3aPERI&amp;form=skydnc</v>
    <v>Learn more on Bing</v>
  </rv>
  <rv s="1">
    <v>en-GB</v>
    <v>a1zpcw</v>
    <v>268435456</v>
    <v>1</v>
    <v>Powered by Refinitiv</v>
    <v>0</v>
    <v>PERION NETWORK LTD (XNAS:PERI)</v>
    <v>2</v>
    <v>3</v>
    <v>Finance</v>
    <v>4</v>
    <v>32.99</v>
    <v>7.47</v>
    <v>1.4829000000000001</v>
    <v>-0.01</v>
    <v>-1.2470000000000001E-3</v>
    <v>USD</v>
    <v>Perion Network Ltd is an Israel-based global technology. The Company delivers the digital advertising. ecosystem, providing brands, agencies and publishers with a holistic ability to identify and reach their customers across all channels with high-impact creative units that are orchestrated by its proprietary Intelligent Hub (iHUB), which offers cross-sell. Perion Network Ltd operates in three main pillars of digital advertising: ad search, social media, and display ,video or CTV. Another aspect of Perion’s technological solutions, is SORT technology. SORT alternative technology is a machine learning model that analyzes millions of data combinations to create cookieless targeting groups consisting of people who think and react to ads like one another.</v>
    <v>420</v>
    <v>Nasdaq Stock Market</v>
    <v>XNAS</v>
    <v>XNAS</v>
    <v>26 Harokmim, HOLON, 5885849 IL</v>
    <v>8.16</v>
    <v>Software &amp; IT Services</v>
    <v>Stock</v>
    <v>45586.673126214846</v>
    <v>0</v>
    <v>7.96</v>
    <v>387861181</v>
    <v>PERION NETWORK LTD</v>
    <v>PERION NETWORK LTD</v>
    <v>8.0299999999999994</v>
    <v>5.2126000000000001</v>
    <v>8.02</v>
    <v>8.01</v>
    <v>48422120</v>
    <v>PERI</v>
    <v>PERION NETWORK LTD (XNAS:PERI)</v>
    <v>73014</v>
    <v>291840</v>
    <v>1999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0" formatCode="General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4">
      <rpv i="0">_([$$-en-US]* #,##0.00_);_([$$-en-US]* (#,##0.00);_([$$-en-US]* "-"??_);_(@_)</rpv>
    </rSty>
    <rSty dxfid="5">
      <rpv i="0">#,##0.00</rpv>
    </rSty>
    <rSty>
      <rpv i="1">1</rpv>
    </rSty>
    <rSty dxfid="3">
      <rpv i="0">#,##0</rpv>
    </rSty>
    <rSty dxfid="2"/>
    <rSty dxfid="4">
      <rpv i="0">_([$$-en-US]* #,##0_);_([$$-en-US]* (#,##0);_([$$-en-US]* "-"_);_(@_)</rpv>
    </rSty>
    <rSty dxfid="1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C229-3F8E-4DA6-8D5D-B9E7C26AAA7E}">
  <dimension ref="D2:J13"/>
  <sheetViews>
    <sheetView tabSelected="1" workbookViewId="0">
      <selection activeCell="J5" sqref="J5"/>
    </sheetView>
  </sheetViews>
  <sheetFormatPr defaultRowHeight="13.2" x14ac:dyDescent="0.25"/>
  <cols>
    <col min="1" max="16384" width="8.88671875" style="1"/>
  </cols>
  <sheetData>
    <row r="2" spans="4:10" x14ac:dyDescent="0.25">
      <c r="D2" s="4" t="s">
        <v>72</v>
      </c>
      <c r="E2" s="1">
        <v>1999</v>
      </c>
    </row>
    <row r="3" spans="4:10" x14ac:dyDescent="0.25">
      <c r="D3" s="4" t="s">
        <v>71</v>
      </c>
      <c r="I3" s="4" t="s">
        <v>0</v>
      </c>
      <c r="J3" s="1" t="e" vm="1">
        <v>#VALUE!</v>
      </c>
    </row>
    <row r="4" spans="4:10" x14ac:dyDescent="0.25">
      <c r="D4" s="4" t="s">
        <v>73</v>
      </c>
      <c r="E4" s="1" t="s">
        <v>37</v>
      </c>
      <c r="I4" s="4" t="s">
        <v>1</v>
      </c>
      <c r="J4" s="2" cm="1">
        <f t="array" aca="1" ref="J4" ca="1">+_FV(J3,"Price")</f>
        <v>8.01</v>
      </c>
    </row>
    <row r="5" spans="4:10" x14ac:dyDescent="0.25">
      <c r="D5" s="4" t="s">
        <v>74</v>
      </c>
      <c r="E5" s="1" t="s">
        <v>78</v>
      </c>
      <c r="I5" s="4" t="s">
        <v>2</v>
      </c>
      <c r="J5" s="1">
        <v>47.991343999999998</v>
      </c>
    </row>
    <row r="6" spans="4:10" x14ac:dyDescent="0.25">
      <c r="D6" s="4" t="s">
        <v>75</v>
      </c>
      <c r="I6" s="4" t="s">
        <v>3</v>
      </c>
      <c r="J6" s="3">
        <f ca="1">+J4*J5</f>
        <v>384.41066543999995</v>
      </c>
    </row>
    <row r="7" spans="4:10" x14ac:dyDescent="0.25">
      <c r="D7" s="4" t="s">
        <v>76</v>
      </c>
      <c r="E7" s="1" t="s">
        <v>77</v>
      </c>
      <c r="I7" s="4" t="s">
        <v>4</v>
      </c>
      <c r="J7" s="3">
        <f>187.609+1.339+207.45+77.616</f>
        <v>474.01400000000001</v>
      </c>
    </row>
    <row r="8" spans="4:10" x14ac:dyDescent="0.25">
      <c r="I8" s="4" t="s">
        <v>5</v>
      </c>
      <c r="J8" s="3">
        <v>73.715999999999994</v>
      </c>
    </row>
    <row r="9" spans="4:10" x14ac:dyDescent="0.25">
      <c r="I9" s="4" t="s">
        <v>6</v>
      </c>
      <c r="J9" s="3">
        <f ca="1">+J6-J7+J8</f>
        <v>-15.88733456000007</v>
      </c>
    </row>
    <row r="12" spans="4:10" x14ac:dyDescent="0.25">
      <c r="D12" s="4" t="s">
        <v>80</v>
      </c>
    </row>
    <row r="13" spans="4:10" x14ac:dyDescent="0.25">
      <c r="D13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820D-A0CC-4A47-954E-CE16B909AE81}">
  <dimension ref="A1:BU38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RowHeight="13.2" x14ac:dyDescent="0.25"/>
  <cols>
    <col min="1" max="1" width="5" style="1" bestFit="1" customWidth="1"/>
    <col min="2" max="2" width="15.5546875" style="1" bestFit="1" customWidth="1"/>
    <col min="3" max="7" width="8.88671875" style="1"/>
    <col min="8" max="8" width="0" style="1" hidden="1" customWidth="1"/>
    <col min="9" max="16384" width="8.88671875" style="1"/>
  </cols>
  <sheetData>
    <row r="1" spans="1:25" ht="14.4" x14ac:dyDescent="0.3">
      <c r="A1" s="5" t="s">
        <v>7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I1" s="4" t="s">
        <v>55</v>
      </c>
      <c r="K1" s="4">
        <v>2021</v>
      </c>
      <c r="L1" s="4">
        <v>2022</v>
      </c>
      <c r="M1" s="4">
        <f>+L1+1</f>
        <v>2023</v>
      </c>
      <c r="N1" s="4">
        <f t="shared" ref="N1:V1" si="0">+M1+1</f>
        <v>2024</v>
      </c>
      <c r="O1" s="4">
        <f t="shared" si="0"/>
        <v>2025</v>
      </c>
      <c r="P1" s="4">
        <f t="shared" si="0"/>
        <v>2026</v>
      </c>
      <c r="Q1" s="4">
        <f t="shared" si="0"/>
        <v>2027</v>
      </c>
      <c r="R1" s="4">
        <f t="shared" si="0"/>
        <v>2028</v>
      </c>
      <c r="S1" s="4">
        <f t="shared" si="0"/>
        <v>2029</v>
      </c>
      <c r="T1" s="4">
        <f t="shared" si="0"/>
        <v>2030</v>
      </c>
      <c r="U1" s="4">
        <f t="shared" si="0"/>
        <v>2031</v>
      </c>
      <c r="V1" s="4">
        <f t="shared" si="0"/>
        <v>2032</v>
      </c>
    </row>
    <row r="2" spans="1:25" x14ac:dyDescent="0.25">
      <c r="X2" s="1" t="s">
        <v>63</v>
      </c>
      <c r="Y2" s="8">
        <v>0.11</v>
      </c>
    </row>
    <row r="3" spans="1:25" x14ac:dyDescent="0.25">
      <c r="B3" s="1" t="s">
        <v>8</v>
      </c>
      <c r="D3" s="1">
        <v>99.4</v>
      </c>
      <c r="I3" s="1">
        <v>74.400000000000006</v>
      </c>
      <c r="K3" s="3">
        <v>265.32299999999998</v>
      </c>
      <c r="L3" s="3">
        <v>360.69</v>
      </c>
      <c r="M3" s="3">
        <v>398.24400000000003</v>
      </c>
      <c r="N3" s="3">
        <f>+M3*0.7</f>
        <v>278.77080000000001</v>
      </c>
      <c r="O3" s="3">
        <f>+N3*1.05</f>
        <v>292.70934</v>
      </c>
      <c r="P3" s="3">
        <f t="shared" ref="P3:V3" si="1">+O3*1.05</f>
        <v>307.344807</v>
      </c>
      <c r="Q3" s="3">
        <f t="shared" si="1"/>
        <v>322.71204735000003</v>
      </c>
      <c r="R3" s="3">
        <f t="shared" si="1"/>
        <v>338.84764971750008</v>
      </c>
      <c r="S3" s="3">
        <f t="shared" si="1"/>
        <v>355.79003220337512</v>
      </c>
      <c r="T3" s="3">
        <f t="shared" si="1"/>
        <v>373.57953381354389</v>
      </c>
      <c r="U3" s="3">
        <f t="shared" si="1"/>
        <v>392.25851050422108</v>
      </c>
      <c r="V3" s="3">
        <f t="shared" si="1"/>
        <v>411.87143602943218</v>
      </c>
      <c r="X3" s="1" t="s">
        <v>64</v>
      </c>
      <c r="Y3" s="8">
        <v>0.01</v>
      </c>
    </row>
    <row r="4" spans="1:25" x14ac:dyDescent="0.25">
      <c r="B4" s="1" t="s">
        <v>9</v>
      </c>
      <c r="D4" s="1">
        <v>79.099999999999994</v>
      </c>
      <c r="I4" s="1">
        <v>34.299999999999997</v>
      </c>
      <c r="K4" s="3">
        <v>213.17500000000001</v>
      </c>
      <c r="L4" s="3">
        <v>279.56599999999997</v>
      </c>
      <c r="M4" s="3">
        <v>344.911</v>
      </c>
      <c r="N4" s="3">
        <f>+M4*0.45</f>
        <v>155.20994999999999</v>
      </c>
      <c r="O4" s="3">
        <f t="shared" ref="O4:V4" si="2">+N4*1.03</f>
        <v>159.86624849999998</v>
      </c>
      <c r="P4" s="3">
        <f t="shared" si="2"/>
        <v>164.662235955</v>
      </c>
      <c r="Q4" s="3">
        <f t="shared" si="2"/>
        <v>169.60210303365</v>
      </c>
      <c r="R4" s="3">
        <f t="shared" si="2"/>
        <v>174.6901661246595</v>
      </c>
      <c r="S4" s="3">
        <f t="shared" si="2"/>
        <v>179.93087110839929</v>
      </c>
      <c r="T4" s="3">
        <f t="shared" si="2"/>
        <v>185.32879724165127</v>
      </c>
      <c r="U4" s="3">
        <f t="shared" si="2"/>
        <v>190.88866115890082</v>
      </c>
      <c r="V4" s="3">
        <f t="shared" si="2"/>
        <v>196.61532099366784</v>
      </c>
      <c r="X4" s="1" t="s">
        <v>62</v>
      </c>
      <c r="Y4" s="12">
        <v>0.04</v>
      </c>
    </row>
    <row r="5" spans="1:25" x14ac:dyDescent="0.25"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1" t="s">
        <v>65</v>
      </c>
      <c r="Y5" s="13">
        <f>+NPV(Y2,N20:BU20)+M35</f>
        <v>732.68159418507571</v>
      </c>
    </row>
    <row r="6" spans="1:25" x14ac:dyDescent="0.25">
      <c r="B6" s="4" t="s">
        <v>10</v>
      </c>
      <c r="C6" s="6">
        <f t="shared" ref="C6:F6" si="3">+C3+C4</f>
        <v>0</v>
      </c>
      <c r="D6" s="6">
        <f t="shared" si="3"/>
        <v>178.5</v>
      </c>
      <c r="E6" s="6">
        <f t="shared" si="3"/>
        <v>0</v>
      </c>
      <c r="F6" s="6">
        <f t="shared" si="3"/>
        <v>0</v>
      </c>
      <c r="G6" s="6">
        <f t="shared" ref="G6:H6" si="4">+G3+G4</f>
        <v>0</v>
      </c>
      <c r="H6" s="6">
        <f t="shared" si="4"/>
        <v>0</v>
      </c>
      <c r="I6" s="6">
        <f>+I3+I4</f>
        <v>108.7</v>
      </c>
      <c r="J6" s="4"/>
      <c r="K6" s="6">
        <f>+K3+K4</f>
        <v>478.49799999999999</v>
      </c>
      <c r="L6" s="6">
        <f t="shared" ref="L6:V6" si="5">+L3+L4</f>
        <v>640.25599999999997</v>
      </c>
      <c r="M6" s="6">
        <f t="shared" si="5"/>
        <v>743.15499999999997</v>
      </c>
      <c r="N6" s="6">
        <f t="shared" si="5"/>
        <v>433.98075</v>
      </c>
      <c r="O6" s="6">
        <f t="shared" si="5"/>
        <v>452.57558849999998</v>
      </c>
      <c r="P6" s="6">
        <f t="shared" si="5"/>
        <v>472.00704295499997</v>
      </c>
      <c r="Q6" s="6">
        <f t="shared" si="5"/>
        <v>492.31415038365003</v>
      </c>
      <c r="R6" s="6">
        <f t="shared" si="5"/>
        <v>513.5378158421596</v>
      </c>
      <c r="S6" s="6">
        <f t="shared" si="5"/>
        <v>535.72090331177446</v>
      </c>
      <c r="T6" s="6">
        <f t="shared" si="5"/>
        <v>558.90833105519516</v>
      </c>
      <c r="U6" s="6">
        <f t="shared" si="5"/>
        <v>583.14717166312187</v>
      </c>
      <c r="V6" s="6">
        <f t="shared" si="5"/>
        <v>608.48675702310004</v>
      </c>
      <c r="X6" s="1" t="s">
        <v>1</v>
      </c>
      <c r="Y6" s="7">
        <f>+Y5/I21</f>
        <v>15.034608872531463</v>
      </c>
    </row>
    <row r="7" spans="1:25" x14ac:dyDescent="0.25">
      <c r="B7" s="1" t="s">
        <v>11</v>
      </c>
      <c r="C7" s="3"/>
      <c r="D7" s="3">
        <v>9.5890000000000004</v>
      </c>
      <c r="E7" s="3"/>
      <c r="F7" s="3"/>
      <c r="G7" s="3"/>
      <c r="H7" s="3">
        <v>25.196999999999999</v>
      </c>
      <c r="I7" s="3">
        <v>11.298999999999999</v>
      </c>
      <c r="K7" s="3">
        <v>25.196999999999999</v>
      </c>
      <c r="L7" s="3">
        <v>30.404</v>
      </c>
      <c r="M7" s="3">
        <v>37.83</v>
      </c>
      <c r="N7" s="3">
        <f>+N6*0.1</f>
        <v>43.398075000000006</v>
      </c>
      <c r="O7" s="3">
        <f t="shared" ref="O7:V7" si="6">+O6*0.1</f>
        <v>45.257558850000002</v>
      </c>
      <c r="P7" s="3">
        <f t="shared" si="6"/>
        <v>47.200704295500003</v>
      </c>
      <c r="Q7" s="3">
        <f t="shared" si="6"/>
        <v>49.231415038365007</v>
      </c>
      <c r="R7" s="3">
        <f t="shared" si="6"/>
        <v>51.353781584215966</v>
      </c>
      <c r="S7" s="3">
        <f t="shared" si="6"/>
        <v>53.572090331177449</v>
      </c>
      <c r="T7" s="3">
        <f t="shared" si="6"/>
        <v>55.890833105519519</v>
      </c>
      <c r="U7" s="3">
        <f t="shared" si="6"/>
        <v>58.314717166312192</v>
      </c>
      <c r="V7" s="3">
        <f t="shared" si="6"/>
        <v>60.848675702310004</v>
      </c>
    </row>
    <row r="8" spans="1:25" x14ac:dyDescent="0.25">
      <c r="B8" s="1" t="s">
        <v>12</v>
      </c>
      <c r="C8" s="3">
        <f t="shared" ref="C8" si="7">+C6-C7</f>
        <v>0</v>
      </c>
      <c r="D8" s="3">
        <f t="shared" ref="D8" si="8">+D6-D7</f>
        <v>168.911</v>
      </c>
      <c r="E8" s="3">
        <f t="shared" ref="E8" si="9">+E6-E7</f>
        <v>0</v>
      </c>
      <c r="F8" s="3">
        <f t="shared" ref="F8" si="10">+F6-F7</f>
        <v>0</v>
      </c>
      <c r="G8" s="3">
        <f t="shared" ref="G8:H8" si="11">+G6-G7</f>
        <v>0</v>
      </c>
      <c r="H8" s="3">
        <f t="shared" si="11"/>
        <v>-25.196999999999999</v>
      </c>
      <c r="I8" s="3">
        <f>+I6-I7</f>
        <v>97.40100000000001</v>
      </c>
      <c r="K8" s="3">
        <f>+K6-K7</f>
        <v>453.30099999999999</v>
      </c>
      <c r="L8" s="3">
        <f t="shared" ref="L8:V8" si="12">+L6-L7</f>
        <v>609.85199999999998</v>
      </c>
      <c r="M8" s="3">
        <f t="shared" si="12"/>
        <v>705.32499999999993</v>
      </c>
      <c r="N8" s="3">
        <f t="shared" si="12"/>
        <v>390.58267499999999</v>
      </c>
      <c r="O8" s="3">
        <f t="shared" si="12"/>
        <v>407.31802964999997</v>
      </c>
      <c r="P8" s="3">
        <f t="shared" si="12"/>
        <v>424.80633865949994</v>
      </c>
      <c r="Q8" s="3">
        <f t="shared" si="12"/>
        <v>443.08273534528502</v>
      </c>
      <c r="R8" s="3">
        <f t="shared" si="12"/>
        <v>462.18403425794361</v>
      </c>
      <c r="S8" s="3">
        <f t="shared" si="12"/>
        <v>482.14881298059703</v>
      </c>
      <c r="T8" s="3">
        <f t="shared" si="12"/>
        <v>503.01749794967566</v>
      </c>
      <c r="U8" s="3">
        <f t="shared" si="12"/>
        <v>524.83245449680965</v>
      </c>
      <c r="V8" s="3">
        <f t="shared" si="12"/>
        <v>547.63808132078998</v>
      </c>
    </row>
    <row r="9" spans="1:25" x14ac:dyDescent="0.25">
      <c r="B9" s="1" t="s">
        <v>13</v>
      </c>
      <c r="C9" s="3"/>
      <c r="D9" s="3">
        <v>101.482</v>
      </c>
      <c r="E9" s="3"/>
      <c r="F9" s="3"/>
      <c r="G9" s="3"/>
      <c r="H9" s="3">
        <v>288.01799999999997</v>
      </c>
      <c r="I9" s="3">
        <v>58.933</v>
      </c>
      <c r="K9" s="3">
        <v>288.01799999999997</v>
      </c>
      <c r="L9" s="3">
        <v>372.601</v>
      </c>
      <c r="M9" s="3">
        <v>432.94299999999998</v>
      </c>
      <c r="N9" s="3">
        <f>+N6*0.56</f>
        <v>243.02922000000001</v>
      </c>
      <c r="O9" s="3">
        <f t="shared" ref="O9:V9" si="13">+O6*0.56</f>
        <v>253.44232956000002</v>
      </c>
      <c r="P9" s="3">
        <f t="shared" si="13"/>
        <v>264.32394405479999</v>
      </c>
      <c r="Q9" s="3">
        <f t="shared" si="13"/>
        <v>275.69592421484407</v>
      </c>
      <c r="R9" s="3">
        <f t="shared" si="13"/>
        <v>287.58117687160939</v>
      </c>
      <c r="S9" s="3">
        <f t="shared" si="13"/>
        <v>300.0037058545937</v>
      </c>
      <c r="T9" s="3">
        <f t="shared" si="13"/>
        <v>312.98866539090932</v>
      </c>
      <c r="U9" s="3">
        <f t="shared" si="13"/>
        <v>326.5624161313483</v>
      </c>
      <c r="V9" s="3">
        <f t="shared" si="13"/>
        <v>340.75258393293603</v>
      </c>
    </row>
    <row r="10" spans="1:25" x14ac:dyDescent="0.25">
      <c r="B10" s="1" t="s">
        <v>14</v>
      </c>
      <c r="C10" s="3"/>
      <c r="D10" s="3">
        <v>8.2360000000000007</v>
      </c>
      <c r="E10" s="3"/>
      <c r="F10" s="3"/>
      <c r="G10" s="3"/>
      <c r="H10" s="3">
        <v>35.347999999999999</v>
      </c>
      <c r="I10" s="3">
        <v>10.112</v>
      </c>
      <c r="K10" s="3">
        <v>35.347999999999999</v>
      </c>
      <c r="L10" s="3">
        <v>34.423999999999999</v>
      </c>
      <c r="M10" s="3">
        <v>33.066000000000003</v>
      </c>
      <c r="N10" s="3">
        <f>+M10*1.03</f>
        <v>34.057980000000001</v>
      </c>
      <c r="O10" s="3">
        <f t="shared" ref="O10:V10" si="14">+N10*1.03</f>
        <v>35.079719400000002</v>
      </c>
      <c r="P10" s="3">
        <f t="shared" si="14"/>
        <v>36.132110982</v>
      </c>
      <c r="Q10" s="3">
        <f t="shared" si="14"/>
        <v>37.216074311459998</v>
      </c>
      <c r="R10" s="3">
        <f t="shared" si="14"/>
        <v>38.3325565408038</v>
      </c>
      <c r="S10" s="3">
        <f t="shared" si="14"/>
        <v>39.482533237027916</v>
      </c>
      <c r="T10" s="3">
        <f t="shared" si="14"/>
        <v>40.667009234138753</v>
      </c>
      <c r="U10" s="3">
        <f t="shared" si="14"/>
        <v>41.887019511162919</v>
      </c>
      <c r="V10" s="3">
        <f t="shared" si="14"/>
        <v>43.143630096497809</v>
      </c>
    </row>
    <row r="11" spans="1:25" x14ac:dyDescent="0.25">
      <c r="B11" s="1" t="s">
        <v>15</v>
      </c>
      <c r="C11" s="3"/>
      <c r="D11" s="3">
        <v>13.856999999999999</v>
      </c>
      <c r="E11" s="3"/>
      <c r="F11" s="3"/>
      <c r="G11" s="3"/>
      <c r="H11" s="3">
        <v>53.209000000000003</v>
      </c>
      <c r="I11" s="3">
        <v>18.044</v>
      </c>
      <c r="K11" s="3">
        <v>53.209000000000003</v>
      </c>
      <c r="L11" s="3">
        <v>56.014000000000003</v>
      </c>
      <c r="M11" s="3">
        <v>57.991</v>
      </c>
      <c r="N11" s="3">
        <f t="shared" ref="N11:V11" si="15">+M11*1.03</f>
        <v>59.730730000000001</v>
      </c>
      <c r="O11" s="3">
        <f t="shared" si="15"/>
        <v>61.5226519</v>
      </c>
      <c r="P11" s="3">
        <f t="shared" si="15"/>
        <v>63.368331457000004</v>
      </c>
      <c r="Q11" s="3">
        <f t="shared" si="15"/>
        <v>65.269381400710003</v>
      </c>
      <c r="R11" s="3">
        <f t="shared" si="15"/>
        <v>67.227462842731299</v>
      </c>
      <c r="S11" s="3">
        <f t="shared" si="15"/>
        <v>69.244286728013236</v>
      </c>
      <c r="T11" s="3">
        <f t="shared" si="15"/>
        <v>71.321615329853628</v>
      </c>
      <c r="U11" s="3">
        <f t="shared" si="15"/>
        <v>73.461263789749239</v>
      </c>
      <c r="V11" s="3">
        <f t="shared" si="15"/>
        <v>75.665101703441721</v>
      </c>
    </row>
    <row r="12" spans="1:25" x14ac:dyDescent="0.25">
      <c r="B12" s="1" t="s">
        <v>16</v>
      </c>
      <c r="C12" s="3"/>
      <c r="D12" s="3">
        <v>7.4130000000000003</v>
      </c>
      <c r="E12" s="3"/>
      <c r="F12" s="3"/>
      <c r="G12" s="3"/>
      <c r="H12" s="3">
        <v>23.178999999999998</v>
      </c>
      <c r="I12" s="3">
        <v>10.003</v>
      </c>
      <c r="K12" s="3">
        <v>23.178999999999998</v>
      </c>
      <c r="L12" s="3">
        <v>27.629000000000001</v>
      </c>
      <c r="M12" s="3">
        <v>31.798999999999999</v>
      </c>
      <c r="N12" s="3">
        <f>+M12*1.03</f>
        <v>32.752969999999998</v>
      </c>
      <c r="O12" s="3">
        <f t="shared" ref="O12:V12" si="16">+N12*1.03</f>
        <v>33.735559099999996</v>
      </c>
      <c r="P12" s="3">
        <f t="shared" si="16"/>
        <v>34.747625872999997</v>
      </c>
      <c r="Q12" s="3">
        <f t="shared" si="16"/>
        <v>35.790054649189997</v>
      </c>
      <c r="R12" s="3">
        <f t="shared" si="16"/>
        <v>36.863756288665698</v>
      </c>
      <c r="S12" s="3">
        <f t="shared" si="16"/>
        <v>37.969668977325668</v>
      </c>
      <c r="T12" s="3">
        <f t="shared" si="16"/>
        <v>39.108759046645439</v>
      </c>
      <c r="U12" s="3">
        <f t="shared" si="16"/>
        <v>40.282021818044804</v>
      </c>
      <c r="V12" s="3">
        <f t="shared" si="16"/>
        <v>41.490482472586152</v>
      </c>
    </row>
    <row r="13" spans="1:25" x14ac:dyDescent="0.25">
      <c r="B13" s="1" t="s">
        <v>17</v>
      </c>
      <c r="C13" s="3"/>
      <c r="D13" s="3">
        <v>14.602</v>
      </c>
      <c r="E13" s="3"/>
      <c r="F13" s="3"/>
      <c r="G13" s="3"/>
      <c r="H13" s="3">
        <v>-2.246</v>
      </c>
      <c r="I13" s="3">
        <v>1.5409999999999999</v>
      </c>
      <c r="K13" s="3">
        <v>-2.246</v>
      </c>
      <c r="L13" s="3">
        <v>-3.8159999999999998</v>
      </c>
      <c r="M13" s="3">
        <v>18.693999999999999</v>
      </c>
      <c r="N13" s="3"/>
      <c r="O13" s="3"/>
      <c r="P13" s="3"/>
      <c r="Q13" s="3"/>
      <c r="R13" s="3"/>
      <c r="S13" s="3"/>
      <c r="T13" s="3"/>
      <c r="U13" s="3"/>
      <c r="V13" s="3"/>
    </row>
    <row r="14" spans="1:25" x14ac:dyDescent="0.25">
      <c r="B14" s="1" t="s">
        <v>18</v>
      </c>
      <c r="C14" s="3"/>
      <c r="D14" s="3">
        <v>3.4049999999999998</v>
      </c>
      <c r="E14" s="3"/>
      <c r="F14" s="3"/>
      <c r="G14" s="3"/>
      <c r="H14" s="3">
        <v>9.8970000000000002</v>
      </c>
      <c r="I14" s="3">
        <v>4.7729999999999997</v>
      </c>
      <c r="K14" s="3">
        <v>9.8970000000000002</v>
      </c>
      <c r="L14" s="3">
        <v>13.837999999999999</v>
      </c>
      <c r="M14" s="3">
        <v>14.092000000000001</v>
      </c>
      <c r="N14" s="3">
        <f>+M14*1.01</f>
        <v>14.23292</v>
      </c>
      <c r="O14" s="3">
        <f t="shared" ref="O14:V14" si="17">+N14*1.01</f>
        <v>14.375249200000001</v>
      </c>
      <c r="P14" s="3">
        <f t="shared" si="17"/>
        <v>14.519001692000002</v>
      </c>
      <c r="Q14" s="3">
        <f t="shared" si="17"/>
        <v>14.664191708920002</v>
      </c>
      <c r="R14" s="3">
        <f t="shared" si="17"/>
        <v>14.810833626009202</v>
      </c>
      <c r="S14" s="3">
        <f t="shared" si="17"/>
        <v>14.958941962269295</v>
      </c>
      <c r="T14" s="3">
        <f t="shared" si="17"/>
        <v>15.108531381891988</v>
      </c>
      <c r="U14" s="3">
        <f t="shared" si="17"/>
        <v>15.259616695710907</v>
      </c>
      <c r="V14" s="3">
        <f t="shared" si="17"/>
        <v>15.412212862668015</v>
      </c>
    </row>
    <row r="15" spans="1:25" x14ac:dyDescent="0.25">
      <c r="B15" s="1" t="s">
        <v>19</v>
      </c>
      <c r="C15" s="3">
        <f t="shared" ref="C15" si="18">+SUM(C9:C14)</f>
        <v>0</v>
      </c>
      <c r="D15" s="3">
        <f t="shared" ref="D15" si="19">+SUM(D9:D14)</f>
        <v>148.995</v>
      </c>
      <c r="E15" s="3">
        <f t="shared" ref="E15" si="20">+SUM(E9:E14)</f>
        <v>0</v>
      </c>
      <c r="F15" s="3">
        <f t="shared" ref="F15" si="21">+SUM(F9:F14)</f>
        <v>0</v>
      </c>
      <c r="G15" s="3">
        <f t="shared" ref="G15:H15" si="22">+SUM(G9:G14)</f>
        <v>0</v>
      </c>
      <c r="H15" s="3">
        <f t="shared" si="22"/>
        <v>407.40499999999997</v>
      </c>
      <c r="I15" s="3">
        <f>+SUM(I9:I14)</f>
        <v>103.40599999999999</v>
      </c>
      <c r="K15" s="3">
        <f>+SUM(K9:K14)</f>
        <v>407.40499999999997</v>
      </c>
      <c r="L15" s="3">
        <f t="shared" ref="L15:V15" si="23">+SUM(L9:L14)</f>
        <v>500.69000000000005</v>
      </c>
      <c r="M15" s="3">
        <f t="shared" si="23"/>
        <v>588.58499999999992</v>
      </c>
      <c r="N15" s="3">
        <f t="shared" si="23"/>
        <v>383.80381999999997</v>
      </c>
      <c r="O15" s="3">
        <f t="shared" si="23"/>
        <v>398.15550916000001</v>
      </c>
      <c r="P15" s="3">
        <f t="shared" si="23"/>
        <v>413.0910140588</v>
      </c>
      <c r="Q15" s="3">
        <f t="shared" si="23"/>
        <v>428.63562628512403</v>
      </c>
      <c r="R15" s="3">
        <f t="shared" si="23"/>
        <v>444.81578616981938</v>
      </c>
      <c r="S15" s="3">
        <f t="shared" si="23"/>
        <v>461.65913675922985</v>
      </c>
      <c r="T15" s="3">
        <f t="shared" si="23"/>
        <v>479.19458038343907</v>
      </c>
      <c r="U15" s="3">
        <f t="shared" si="23"/>
        <v>497.4523379460162</v>
      </c>
      <c r="V15" s="3">
        <f t="shared" si="23"/>
        <v>516.46401106812982</v>
      </c>
    </row>
    <row r="16" spans="1:25" x14ac:dyDescent="0.25">
      <c r="B16" s="1" t="s">
        <v>20</v>
      </c>
      <c r="C16" s="3">
        <f t="shared" ref="C16" si="24">+C8-C15</f>
        <v>0</v>
      </c>
      <c r="D16" s="3">
        <f t="shared" ref="D16" si="25">+D8-D15</f>
        <v>19.915999999999997</v>
      </c>
      <c r="E16" s="3">
        <f t="shared" ref="E16" si="26">+E8-E15</f>
        <v>0</v>
      </c>
      <c r="F16" s="3">
        <f t="shared" ref="F16" si="27">+F8-F15</f>
        <v>0</v>
      </c>
      <c r="G16" s="3">
        <f t="shared" ref="G16:H16" si="28">+G8-G15</f>
        <v>0</v>
      </c>
      <c r="H16" s="3">
        <f t="shared" si="28"/>
        <v>-432.60199999999998</v>
      </c>
      <c r="I16" s="3">
        <f>+I8-I15</f>
        <v>-6.0049999999999812</v>
      </c>
      <c r="K16" s="3">
        <f>+K8-K15</f>
        <v>45.896000000000015</v>
      </c>
      <c r="L16" s="3">
        <f t="shared" ref="L16:V16" si="29">+L8-L15</f>
        <v>109.16199999999992</v>
      </c>
      <c r="M16" s="3">
        <f t="shared" si="29"/>
        <v>116.74000000000001</v>
      </c>
      <c r="N16" s="3">
        <f t="shared" si="29"/>
        <v>6.7788550000000214</v>
      </c>
      <c r="O16" s="3">
        <f t="shared" si="29"/>
        <v>9.162520489999963</v>
      </c>
      <c r="P16" s="3">
        <f t="shared" si="29"/>
        <v>11.715324600699944</v>
      </c>
      <c r="Q16" s="3">
        <f t="shared" si="29"/>
        <v>14.447109060160983</v>
      </c>
      <c r="R16" s="3">
        <f t="shared" si="29"/>
        <v>17.368248088124233</v>
      </c>
      <c r="S16" s="3">
        <f t="shared" si="29"/>
        <v>20.489676221367176</v>
      </c>
      <c r="T16" s="3">
        <f t="shared" si="29"/>
        <v>23.822917566236583</v>
      </c>
      <c r="U16" s="3">
        <f t="shared" si="29"/>
        <v>27.380116550793446</v>
      </c>
      <c r="V16" s="3">
        <f t="shared" si="29"/>
        <v>31.174070252660158</v>
      </c>
    </row>
    <row r="17" spans="1:73" x14ac:dyDescent="0.25">
      <c r="B17" s="1" t="s">
        <v>21</v>
      </c>
      <c r="C17" s="3"/>
      <c r="D17" s="3">
        <v>5.1580000000000004</v>
      </c>
      <c r="E17" s="3"/>
      <c r="F17" s="3"/>
      <c r="G17" s="3"/>
      <c r="H17" s="3">
        <v>-0.58099999999999996</v>
      </c>
      <c r="I17" s="3">
        <v>5.7030000000000003</v>
      </c>
      <c r="K17" s="3">
        <v>-0.58099999999999996</v>
      </c>
      <c r="L17" s="3">
        <v>4.5019999999999998</v>
      </c>
      <c r="M17" s="3">
        <v>20.951000000000001</v>
      </c>
      <c r="N17" s="3">
        <f>+M35*Y4</f>
        <v>16.01192</v>
      </c>
      <c r="O17" s="3">
        <f>+N35*$Y$4</f>
        <v>16.741224800000001</v>
      </c>
      <c r="P17" s="3">
        <f t="shared" ref="P17:V17" si="30">+O35*$Y$4</f>
        <v>17.57014464928</v>
      </c>
      <c r="Q17" s="3">
        <f t="shared" si="30"/>
        <v>18.507279665279356</v>
      </c>
      <c r="R17" s="3">
        <f t="shared" si="30"/>
        <v>19.561820104493446</v>
      </c>
      <c r="S17" s="3">
        <f t="shared" si="30"/>
        <v>20.743582286657212</v>
      </c>
      <c r="T17" s="3">
        <f t="shared" si="30"/>
        <v>22.063046558913992</v>
      </c>
      <c r="U17" s="3">
        <f t="shared" si="30"/>
        <v>23.531397410918814</v>
      </c>
      <c r="V17" s="3">
        <f t="shared" si="30"/>
        <v>25.160565857693605</v>
      </c>
    </row>
    <row r="18" spans="1:73" x14ac:dyDescent="0.25">
      <c r="B18" s="1" t="s">
        <v>22</v>
      </c>
      <c r="C18" s="3">
        <f t="shared" ref="C18" si="31">+C16+C17</f>
        <v>0</v>
      </c>
      <c r="D18" s="3">
        <f t="shared" ref="D18" si="32">+D16+D17</f>
        <v>25.073999999999998</v>
      </c>
      <c r="E18" s="3">
        <f t="shared" ref="E18" si="33">+E16+E17</f>
        <v>0</v>
      </c>
      <c r="F18" s="3">
        <f t="shared" ref="F18" si="34">+F16+F17</f>
        <v>0</v>
      </c>
      <c r="G18" s="3">
        <f t="shared" ref="G18:H18" si="35">+G16+G17</f>
        <v>0</v>
      </c>
      <c r="H18" s="3">
        <f t="shared" si="35"/>
        <v>-433.18299999999999</v>
      </c>
      <c r="I18" s="3">
        <f>+I16+I17</f>
        <v>-0.30199999999998095</v>
      </c>
      <c r="K18" s="3">
        <f>+K16+K17</f>
        <v>45.315000000000012</v>
      </c>
      <c r="L18" s="3">
        <f t="shared" ref="L18:V18" si="36">+L16+L17</f>
        <v>113.66399999999992</v>
      </c>
      <c r="M18" s="3">
        <f t="shared" si="36"/>
        <v>137.691</v>
      </c>
      <c r="N18" s="3">
        <f t="shared" si="36"/>
        <v>22.790775000000021</v>
      </c>
      <c r="O18" s="3">
        <f t="shared" si="36"/>
        <v>25.903745289999964</v>
      </c>
      <c r="P18" s="3">
        <f t="shared" si="36"/>
        <v>29.285469249979943</v>
      </c>
      <c r="Q18" s="3">
        <f t="shared" si="36"/>
        <v>32.954388725440339</v>
      </c>
      <c r="R18" s="3">
        <f t="shared" si="36"/>
        <v>36.930068192617682</v>
      </c>
      <c r="S18" s="3">
        <f t="shared" si="36"/>
        <v>41.233258508024392</v>
      </c>
      <c r="T18" s="3">
        <f t="shared" si="36"/>
        <v>45.885964125150579</v>
      </c>
      <c r="U18" s="3">
        <f t="shared" si="36"/>
        <v>50.911513961712259</v>
      </c>
      <c r="V18" s="3">
        <f t="shared" si="36"/>
        <v>56.334636110353763</v>
      </c>
    </row>
    <row r="19" spans="1:73" x14ac:dyDescent="0.25">
      <c r="B19" s="1" t="s">
        <v>23</v>
      </c>
      <c r="C19" s="3"/>
      <c r="D19" s="3">
        <v>3.6379999999999999</v>
      </c>
      <c r="E19" s="3"/>
      <c r="F19" s="3"/>
      <c r="G19" s="3"/>
      <c r="H19" s="3">
        <v>6.609</v>
      </c>
      <c r="I19" s="3">
        <v>-0.997</v>
      </c>
      <c r="K19" s="3">
        <v>6.609</v>
      </c>
      <c r="L19" s="3">
        <v>14.439</v>
      </c>
      <c r="M19" s="3">
        <v>20.277999999999999</v>
      </c>
      <c r="N19" s="3">
        <f>+N18*0.2</f>
        <v>4.5581550000000046</v>
      </c>
      <c r="O19" s="3">
        <f t="shared" ref="O19:V19" si="37">+O18*0.2</f>
        <v>5.1807490579999929</v>
      </c>
      <c r="P19" s="3">
        <f t="shared" si="37"/>
        <v>5.857093849995989</v>
      </c>
      <c r="Q19" s="3">
        <f t="shared" si="37"/>
        <v>6.5908777450880685</v>
      </c>
      <c r="R19" s="3">
        <f t="shared" si="37"/>
        <v>7.3860136385235364</v>
      </c>
      <c r="S19" s="3">
        <f t="shared" si="37"/>
        <v>8.246651701604879</v>
      </c>
      <c r="T19" s="3">
        <f t="shared" si="37"/>
        <v>9.1771928250301169</v>
      </c>
      <c r="U19" s="3">
        <f t="shared" si="37"/>
        <v>10.182302792342453</v>
      </c>
      <c r="V19" s="3">
        <f t="shared" si="37"/>
        <v>11.266927222070754</v>
      </c>
    </row>
    <row r="20" spans="1:73" x14ac:dyDescent="0.25">
      <c r="B20" s="4" t="s">
        <v>24</v>
      </c>
      <c r="C20" s="6">
        <f t="shared" ref="C20" si="38">+C18-C19</f>
        <v>0</v>
      </c>
      <c r="D20" s="6">
        <f t="shared" ref="D20" si="39">+D18-D19</f>
        <v>21.436</v>
      </c>
      <c r="E20" s="6">
        <f t="shared" ref="E20" si="40">+E18-E19</f>
        <v>0</v>
      </c>
      <c r="F20" s="6">
        <f t="shared" ref="F20" si="41">+F18-F19</f>
        <v>0</v>
      </c>
      <c r="G20" s="6">
        <f t="shared" ref="G20:H20" si="42">+G18-G19</f>
        <v>0</v>
      </c>
      <c r="H20" s="6">
        <f t="shared" si="42"/>
        <v>-439.79199999999997</v>
      </c>
      <c r="I20" s="6">
        <f>+I18-I19</f>
        <v>0.69500000000001905</v>
      </c>
      <c r="J20" s="4"/>
      <c r="K20" s="6">
        <f>+K18-K19</f>
        <v>38.70600000000001</v>
      </c>
      <c r="L20" s="6">
        <f t="shared" ref="L20:V20" si="43">+L18-L19</f>
        <v>99.224999999999909</v>
      </c>
      <c r="M20" s="6">
        <f t="shared" si="43"/>
        <v>117.41300000000001</v>
      </c>
      <c r="N20" s="6">
        <f t="shared" si="43"/>
        <v>18.232620000000018</v>
      </c>
      <c r="O20" s="6">
        <f t="shared" si="43"/>
        <v>20.722996231999971</v>
      </c>
      <c r="P20" s="6">
        <f t="shared" si="43"/>
        <v>23.428375399983956</v>
      </c>
      <c r="Q20" s="6">
        <f t="shared" si="43"/>
        <v>26.36351098035227</v>
      </c>
      <c r="R20" s="6">
        <f t="shared" si="43"/>
        <v>29.544054554094146</v>
      </c>
      <c r="S20" s="6">
        <f t="shared" si="43"/>
        <v>32.986606806419516</v>
      </c>
      <c r="T20" s="6">
        <f t="shared" si="43"/>
        <v>36.708771300120461</v>
      </c>
      <c r="U20" s="6">
        <f t="shared" si="43"/>
        <v>40.729211169369805</v>
      </c>
      <c r="V20" s="6">
        <f t="shared" si="43"/>
        <v>45.067708888283008</v>
      </c>
      <c r="W20" s="6">
        <f>+V20*(1+$Y$3)</f>
        <v>45.518385977165835</v>
      </c>
      <c r="X20" s="6">
        <f t="shared" ref="X20:BU20" si="44">+W20*(1+$Y$3)</f>
        <v>45.973569836937493</v>
      </c>
      <c r="Y20" s="6">
        <f t="shared" si="44"/>
        <v>46.433305535306872</v>
      </c>
      <c r="Z20" s="6">
        <f t="shared" si="44"/>
        <v>46.897638590659938</v>
      </c>
      <c r="AA20" s="6">
        <f t="shared" si="44"/>
        <v>47.366614976566538</v>
      </c>
      <c r="AB20" s="6">
        <f t="shared" si="44"/>
        <v>47.840281126332201</v>
      </c>
      <c r="AC20" s="6">
        <f t="shared" si="44"/>
        <v>48.318683937595523</v>
      </c>
      <c r="AD20" s="6">
        <f t="shared" si="44"/>
        <v>48.801870776971477</v>
      </c>
      <c r="AE20" s="6">
        <f t="shared" si="44"/>
        <v>49.289889484741195</v>
      </c>
      <c r="AF20" s="6">
        <f t="shared" si="44"/>
        <v>49.782788379588609</v>
      </c>
      <c r="AG20" s="6">
        <f t="shared" si="44"/>
        <v>50.280616263384495</v>
      </c>
      <c r="AH20" s="6">
        <f t="shared" si="44"/>
        <v>50.78342242601834</v>
      </c>
      <c r="AI20" s="6">
        <f t="shared" si="44"/>
        <v>51.291256650278527</v>
      </c>
      <c r="AJ20" s="6">
        <f t="shared" si="44"/>
        <v>51.804169216781311</v>
      </c>
      <c r="AK20" s="6">
        <f t="shared" si="44"/>
        <v>52.322210908949124</v>
      </c>
      <c r="AL20" s="6">
        <f t="shared" si="44"/>
        <v>52.845433018038612</v>
      </c>
      <c r="AM20" s="6">
        <f t="shared" si="44"/>
        <v>53.373887348219</v>
      </c>
      <c r="AN20" s="6">
        <f t="shared" si="44"/>
        <v>53.907626221701193</v>
      </c>
      <c r="AO20" s="6">
        <f t="shared" si="44"/>
        <v>54.446702483918209</v>
      </c>
      <c r="AP20" s="6">
        <f t="shared" si="44"/>
        <v>54.991169508757395</v>
      </c>
      <c r="AQ20" s="6">
        <f t="shared" si="44"/>
        <v>55.541081203844968</v>
      </c>
      <c r="AR20" s="6">
        <f t="shared" si="44"/>
        <v>56.09649201588342</v>
      </c>
      <c r="AS20" s="6">
        <f t="shared" si="44"/>
        <v>56.657456936042252</v>
      </c>
      <c r="AT20" s="6">
        <f t="shared" si="44"/>
        <v>57.224031505402678</v>
      </c>
      <c r="AU20" s="6">
        <f t="shared" si="44"/>
        <v>57.796271820456703</v>
      </c>
      <c r="AV20" s="6">
        <f t="shared" si="44"/>
        <v>58.37423453866127</v>
      </c>
      <c r="AW20" s="6">
        <f t="shared" si="44"/>
        <v>58.957976884047881</v>
      </c>
      <c r="AX20" s="6">
        <f t="shared" si="44"/>
        <v>59.54755665288836</v>
      </c>
      <c r="AY20" s="6">
        <f t="shared" si="44"/>
        <v>60.143032219417243</v>
      </c>
      <c r="AZ20" s="6">
        <f t="shared" si="44"/>
        <v>60.744462541611419</v>
      </c>
      <c r="BA20" s="6">
        <f t="shared" si="44"/>
        <v>61.351907167027534</v>
      </c>
      <c r="BB20" s="6">
        <f t="shared" si="44"/>
        <v>61.965426238697809</v>
      </c>
      <c r="BC20" s="6">
        <f t="shared" si="44"/>
        <v>62.585080501084789</v>
      </c>
      <c r="BD20" s="6">
        <f t="shared" si="44"/>
        <v>63.210931306095638</v>
      </c>
      <c r="BE20" s="6">
        <f t="shared" si="44"/>
        <v>63.843040619156596</v>
      </c>
      <c r="BF20" s="6">
        <f t="shared" si="44"/>
        <v>64.481471025348156</v>
      </c>
      <c r="BG20" s="6">
        <f t="shared" si="44"/>
        <v>65.126285735601641</v>
      </c>
      <c r="BH20" s="6">
        <f t="shared" si="44"/>
        <v>65.777548592957658</v>
      </c>
      <c r="BI20" s="6">
        <f t="shared" si="44"/>
        <v>66.435324078887234</v>
      </c>
      <c r="BJ20" s="6">
        <f t="shared" si="44"/>
        <v>67.099677319676104</v>
      </c>
      <c r="BK20" s="6">
        <f t="shared" si="44"/>
        <v>67.770674092872866</v>
      </c>
      <c r="BL20" s="6">
        <f t="shared" si="44"/>
        <v>68.448380833801593</v>
      </c>
      <c r="BM20" s="6">
        <f t="shared" si="44"/>
        <v>69.132864642139609</v>
      </c>
      <c r="BN20" s="6">
        <f t="shared" si="44"/>
        <v>69.824193288561005</v>
      </c>
      <c r="BO20" s="6">
        <f t="shared" si="44"/>
        <v>70.522435221446614</v>
      </c>
      <c r="BP20" s="6">
        <f t="shared" si="44"/>
        <v>71.227659573661086</v>
      </c>
      <c r="BQ20" s="6">
        <f t="shared" si="44"/>
        <v>71.939936169397697</v>
      </c>
      <c r="BR20" s="6">
        <f t="shared" si="44"/>
        <v>72.659335531091671</v>
      </c>
      <c r="BS20" s="6">
        <f t="shared" si="44"/>
        <v>73.385928886402581</v>
      </c>
      <c r="BT20" s="6">
        <f t="shared" si="44"/>
        <v>74.119788175266606</v>
      </c>
      <c r="BU20" s="6">
        <f t="shared" si="44"/>
        <v>74.860986057019275</v>
      </c>
    </row>
    <row r="21" spans="1:73" x14ac:dyDescent="0.25">
      <c r="B21" s="1" t="s">
        <v>2</v>
      </c>
      <c r="D21" s="1">
        <v>49.637</v>
      </c>
      <c r="H21" s="1">
        <v>37.829000000000001</v>
      </c>
      <c r="I21" s="1">
        <v>48.732999999999997</v>
      </c>
      <c r="K21" s="1">
        <v>37.829000000000001</v>
      </c>
      <c r="L21" s="1">
        <v>48.070999999999998</v>
      </c>
      <c r="M21" s="1">
        <v>50.073</v>
      </c>
      <c r="N21" s="1">
        <v>50.073</v>
      </c>
      <c r="O21" s="1">
        <v>50.073</v>
      </c>
      <c r="P21" s="1">
        <v>50.073</v>
      </c>
      <c r="Q21" s="1">
        <v>50.073</v>
      </c>
      <c r="R21" s="1">
        <v>50.073</v>
      </c>
      <c r="S21" s="1">
        <v>50.073</v>
      </c>
      <c r="T21" s="1">
        <v>50.073</v>
      </c>
      <c r="U21" s="1">
        <v>50.073</v>
      </c>
      <c r="V21" s="1">
        <v>50.073</v>
      </c>
    </row>
    <row r="22" spans="1:73" x14ac:dyDescent="0.25">
      <c r="B22" s="1" t="s">
        <v>25</v>
      </c>
      <c r="C22" s="7" t="e">
        <f t="shared" ref="C22" si="45">+C20/C21</f>
        <v>#DIV/0!</v>
      </c>
      <c r="D22" s="7">
        <f t="shared" ref="D22" si="46">+D20/D21</f>
        <v>0.43185526925478979</v>
      </c>
      <c r="E22" s="7" t="e">
        <f t="shared" ref="E22" si="47">+E20/E21</f>
        <v>#DIV/0!</v>
      </c>
      <c r="F22" s="7" t="e">
        <f t="shared" ref="F22" si="48">+F20/F21</f>
        <v>#DIV/0!</v>
      </c>
      <c r="G22" s="7" t="e">
        <f t="shared" ref="G22:H22" si="49">+G20/G21</f>
        <v>#DIV/0!</v>
      </c>
      <c r="H22" s="7">
        <f t="shared" si="49"/>
        <v>-11.625789738031667</v>
      </c>
      <c r="I22" s="7">
        <f>+I20/I21</f>
        <v>1.4261383456795581E-2</v>
      </c>
      <c r="K22" s="7">
        <f>+K20/K21</f>
        <v>1.0231832720928391</v>
      </c>
      <c r="L22" s="7">
        <f t="shared" ref="L22:V22" si="50">+L20/L21</f>
        <v>2.0641343013459239</v>
      </c>
      <c r="M22" s="7">
        <f t="shared" si="50"/>
        <v>2.3448365386535661</v>
      </c>
      <c r="N22" s="7">
        <f t="shared" si="50"/>
        <v>0.36412078365586281</v>
      </c>
      <c r="O22" s="7">
        <f t="shared" si="50"/>
        <v>0.41385569532482519</v>
      </c>
      <c r="P22" s="7">
        <f t="shared" si="50"/>
        <v>0.46788439678037974</v>
      </c>
      <c r="Q22" s="7">
        <f t="shared" si="50"/>
        <v>0.5265015273770749</v>
      </c>
      <c r="R22" s="7">
        <f t="shared" si="50"/>
        <v>0.59001966237481562</v>
      </c>
      <c r="S22" s="7">
        <f t="shared" si="50"/>
        <v>0.65877033144448138</v>
      </c>
      <c r="T22" s="7">
        <f t="shared" si="50"/>
        <v>0.73310509256726097</v>
      </c>
      <c r="U22" s="7">
        <f t="shared" si="50"/>
        <v>0.81339666425758006</v>
      </c>
      <c r="V22" s="7">
        <f t="shared" si="50"/>
        <v>0.9000401191916404</v>
      </c>
    </row>
    <row r="24" spans="1:73" x14ac:dyDescent="0.25">
      <c r="B24" s="1" t="s">
        <v>8</v>
      </c>
      <c r="I24" s="8">
        <f>+I3/D3-1</f>
        <v>-0.25150905432595572</v>
      </c>
      <c r="L24" s="9">
        <f t="shared" ref="L24" si="51">+L3/K3-1</f>
        <v>0.35943736502300982</v>
      </c>
      <c r="M24" s="9">
        <f>+M3/L3-1</f>
        <v>0.10411710887465708</v>
      </c>
      <c r="N24" s="9">
        <f t="shared" ref="N24:V25" si="52">+N3/M3-1</f>
        <v>-0.30000000000000004</v>
      </c>
      <c r="O24" s="9">
        <f t="shared" si="52"/>
        <v>5.0000000000000044E-2</v>
      </c>
      <c r="P24" s="9">
        <f t="shared" si="52"/>
        <v>5.0000000000000044E-2</v>
      </c>
      <c r="Q24" s="9">
        <f t="shared" si="52"/>
        <v>5.0000000000000044E-2</v>
      </c>
      <c r="R24" s="9">
        <f t="shared" si="52"/>
        <v>5.0000000000000044E-2</v>
      </c>
      <c r="S24" s="9">
        <f t="shared" si="52"/>
        <v>5.0000000000000044E-2</v>
      </c>
      <c r="T24" s="9">
        <f t="shared" si="52"/>
        <v>5.0000000000000044E-2</v>
      </c>
      <c r="U24" s="9">
        <f t="shared" si="52"/>
        <v>5.0000000000000044E-2</v>
      </c>
      <c r="V24" s="9">
        <f t="shared" si="52"/>
        <v>5.0000000000000044E-2</v>
      </c>
    </row>
    <row r="25" spans="1:73" x14ac:dyDescent="0.25">
      <c r="B25" s="1" t="s">
        <v>9</v>
      </c>
      <c r="I25" s="8">
        <f t="shared" ref="I25" si="53">+I4/D4-1</f>
        <v>-0.5663716814159292</v>
      </c>
      <c r="L25" s="9">
        <f t="shared" ref="L25:M25" si="54">+L4/K4-1</f>
        <v>0.31143895860208737</v>
      </c>
      <c r="M25" s="9">
        <f t="shared" si="54"/>
        <v>0.23373729280384614</v>
      </c>
      <c r="N25" s="9">
        <f t="shared" si="52"/>
        <v>-0.55000000000000004</v>
      </c>
      <c r="O25" s="9">
        <f t="shared" si="52"/>
        <v>3.0000000000000027E-2</v>
      </c>
      <c r="P25" s="9">
        <f t="shared" si="52"/>
        <v>3.0000000000000027E-2</v>
      </c>
      <c r="Q25" s="9">
        <f t="shared" si="52"/>
        <v>3.0000000000000027E-2</v>
      </c>
      <c r="R25" s="9">
        <f t="shared" si="52"/>
        <v>3.0000000000000027E-2</v>
      </c>
      <c r="S25" s="9">
        <f t="shared" si="52"/>
        <v>3.0000000000000027E-2</v>
      </c>
      <c r="T25" s="9">
        <f t="shared" si="52"/>
        <v>3.0000000000000027E-2</v>
      </c>
      <c r="U25" s="9">
        <f t="shared" si="52"/>
        <v>3.0000000000000027E-2</v>
      </c>
      <c r="V25" s="9">
        <f t="shared" si="52"/>
        <v>3.0000000000000027E-2</v>
      </c>
    </row>
    <row r="26" spans="1:73" s="4" customFormat="1" x14ac:dyDescent="0.25">
      <c r="A26" s="1"/>
      <c r="B26" s="4" t="s">
        <v>26</v>
      </c>
      <c r="C26" s="1"/>
      <c r="D26" s="1"/>
      <c r="E26" s="1"/>
      <c r="F26" s="1"/>
      <c r="G26" s="1"/>
      <c r="H26" s="1"/>
      <c r="I26" s="11">
        <f>+I6/D6-1</f>
        <v>-0.39103641456582627</v>
      </c>
      <c r="J26" s="1"/>
      <c r="L26" s="10">
        <f t="shared" ref="L26" si="55">+L6/K6-1</f>
        <v>0.33805365957642453</v>
      </c>
      <c r="M26" s="10">
        <f>+M6/L6-1</f>
        <v>0.16071540133946427</v>
      </c>
      <c r="N26" s="10">
        <f t="shared" ref="N26:V26" si="56">+N6/M6-1</f>
        <v>-0.41602929402345401</v>
      </c>
      <c r="O26" s="10">
        <f t="shared" si="56"/>
        <v>4.284715047844867E-2</v>
      </c>
      <c r="P26" s="10">
        <f t="shared" si="56"/>
        <v>4.2935268602097842E-2</v>
      </c>
      <c r="Q26" s="10">
        <f t="shared" si="56"/>
        <v>4.302289072111587E-2</v>
      </c>
      <c r="R26" s="10">
        <f t="shared" si="56"/>
        <v>4.3110004946984359E-2</v>
      </c>
      <c r="S26" s="10">
        <f t="shared" si="56"/>
        <v>4.3196599715322748E-2</v>
      </c>
      <c r="T26" s="10">
        <f t="shared" si="56"/>
        <v>4.3282663790190412E-2</v>
      </c>
      <c r="U26" s="10">
        <f t="shared" si="56"/>
        <v>4.3368186267978448E-2</v>
      </c>
      <c r="V26" s="10">
        <f t="shared" si="56"/>
        <v>4.3453156580885555E-2</v>
      </c>
    </row>
    <row r="27" spans="1:73" x14ac:dyDescent="0.25">
      <c r="B27" s="1" t="s">
        <v>61</v>
      </c>
      <c r="C27" s="9" t="e">
        <f t="shared" ref="C27:I27" si="57">+C8/C6</f>
        <v>#DIV/0!</v>
      </c>
      <c r="D27" s="9">
        <f t="shared" si="57"/>
        <v>0.94628011204481799</v>
      </c>
      <c r="E27" s="9" t="e">
        <f t="shared" si="57"/>
        <v>#DIV/0!</v>
      </c>
      <c r="F27" s="9" t="e">
        <f t="shared" si="57"/>
        <v>#DIV/0!</v>
      </c>
      <c r="G27" s="9" t="e">
        <f t="shared" si="57"/>
        <v>#DIV/0!</v>
      </c>
      <c r="H27" s="9" t="e">
        <f t="shared" si="57"/>
        <v>#DIV/0!</v>
      </c>
      <c r="I27" s="9">
        <f t="shared" si="57"/>
        <v>0.89605335786568541</v>
      </c>
      <c r="K27" s="9">
        <f t="shared" ref="K27:L27" si="58">+K8/K6</f>
        <v>0.94734147269163094</v>
      </c>
      <c r="L27" s="9">
        <f t="shared" si="58"/>
        <v>0.95251274490203919</v>
      </c>
      <c r="M27" s="9">
        <f>+M8/M6</f>
        <v>0.94909541078240733</v>
      </c>
      <c r="N27" s="9">
        <f t="shared" ref="N27:V27" si="59">+N8/N6</f>
        <v>0.9</v>
      </c>
      <c r="O27" s="9">
        <f t="shared" si="59"/>
        <v>0.9</v>
      </c>
      <c r="P27" s="9">
        <f t="shared" si="59"/>
        <v>0.89999999999999991</v>
      </c>
      <c r="Q27" s="9">
        <f t="shared" si="59"/>
        <v>0.9</v>
      </c>
      <c r="R27" s="9">
        <f t="shared" si="59"/>
        <v>0.89999999999999991</v>
      </c>
      <c r="S27" s="9">
        <f t="shared" si="59"/>
        <v>0.9</v>
      </c>
      <c r="T27" s="9">
        <f t="shared" si="59"/>
        <v>0.9</v>
      </c>
      <c r="U27" s="9">
        <f t="shared" si="59"/>
        <v>0.89999999999999991</v>
      </c>
      <c r="V27" s="9">
        <f t="shared" si="59"/>
        <v>0.89999999999999991</v>
      </c>
    </row>
    <row r="29" spans="1:73" x14ac:dyDescent="0.25">
      <c r="B29" s="1" t="s">
        <v>27</v>
      </c>
      <c r="D29" s="1">
        <v>47.372</v>
      </c>
      <c r="I29" s="1">
        <v>-20.533999999999999</v>
      </c>
      <c r="K29" s="3">
        <v>71.105999999999995</v>
      </c>
      <c r="L29" s="3">
        <v>122.119</v>
      </c>
      <c r="M29" s="3">
        <v>155.46299999999999</v>
      </c>
    </row>
    <row r="30" spans="1:73" x14ac:dyDescent="0.25">
      <c r="B30" s="1" t="s">
        <v>28</v>
      </c>
      <c r="D30" s="1">
        <v>3.1</v>
      </c>
      <c r="I30" s="1">
        <v>5.6859999999999999</v>
      </c>
      <c r="K30" s="3">
        <v>6.9850000000000003</v>
      </c>
      <c r="L30" s="3">
        <v>11.57</v>
      </c>
      <c r="M30" s="3">
        <v>15.59</v>
      </c>
    </row>
    <row r="31" spans="1:73" x14ac:dyDescent="0.25">
      <c r="B31" s="1" t="s">
        <v>29</v>
      </c>
      <c r="D31" s="1">
        <v>0.217</v>
      </c>
      <c r="I31" s="1">
        <v>0.69199999999999995</v>
      </c>
      <c r="K31" s="3">
        <v>0.627</v>
      </c>
      <c r="L31" s="3">
        <v>1.0580000000000001</v>
      </c>
      <c r="M31" s="3">
        <v>0.81100000000000005</v>
      </c>
    </row>
    <row r="32" spans="1:73" x14ac:dyDescent="0.25">
      <c r="B32" s="4" t="s">
        <v>30</v>
      </c>
      <c r="C32" s="6">
        <f t="shared" ref="C32:H32" si="60">+C29-C31</f>
        <v>0</v>
      </c>
      <c r="D32" s="6">
        <f t="shared" si="60"/>
        <v>47.155000000000001</v>
      </c>
      <c r="E32" s="6">
        <f t="shared" si="60"/>
        <v>0</v>
      </c>
      <c r="F32" s="6">
        <f t="shared" si="60"/>
        <v>0</v>
      </c>
      <c r="G32" s="6">
        <f t="shared" si="60"/>
        <v>0</v>
      </c>
      <c r="H32" s="6">
        <f t="shared" si="60"/>
        <v>0</v>
      </c>
      <c r="I32" s="6">
        <f>+I29-I31</f>
        <v>-21.225999999999999</v>
      </c>
      <c r="J32" s="4"/>
      <c r="K32" s="6">
        <f>+K29-K31</f>
        <v>70.478999999999999</v>
      </c>
      <c r="L32" s="6">
        <f t="shared" ref="L32:M32" si="61">+L29-L31</f>
        <v>121.06099999999999</v>
      </c>
      <c r="M32" s="6">
        <f t="shared" si="61"/>
        <v>154.65199999999999</v>
      </c>
    </row>
    <row r="33" spans="2:22" x14ac:dyDescent="0.25">
      <c r="B33" s="1" t="s">
        <v>31</v>
      </c>
      <c r="L33" s="8">
        <f t="shared" ref="L33" si="62">+L32/K32-1</f>
        <v>0.71768895699428192</v>
      </c>
      <c r="M33" s="8">
        <f>+M32/L32-1</f>
        <v>0.27747168782679799</v>
      </c>
    </row>
    <row r="35" spans="2:22" x14ac:dyDescent="0.25">
      <c r="B35" s="1" t="s">
        <v>32</v>
      </c>
      <c r="C35" s="1">
        <v>436.3</v>
      </c>
      <c r="D35" s="1">
        <v>483.3</v>
      </c>
      <c r="E35" s="1">
        <v>523.6</v>
      </c>
      <c r="F35" s="1">
        <v>472.7</v>
      </c>
      <c r="G35" s="1">
        <v>479.7</v>
      </c>
      <c r="I35" s="1">
        <v>407</v>
      </c>
      <c r="M35" s="3">
        <f>+main!J7-main!J8</f>
        <v>400.298</v>
      </c>
      <c r="N35" s="3">
        <f>+M35+N20</f>
        <v>418.53062</v>
      </c>
      <c r="O35" s="3">
        <f t="shared" ref="O35:V35" si="63">+N35+O20</f>
        <v>439.25361623199996</v>
      </c>
      <c r="P35" s="3">
        <f t="shared" si="63"/>
        <v>462.68199163198392</v>
      </c>
      <c r="Q35" s="3">
        <f t="shared" si="63"/>
        <v>489.04550261233618</v>
      </c>
      <c r="R35" s="3">
        <f t="shared" si="63"/>
        <v>518.58955716643027</v>
      </c>
      <c r="S35" s="3">
        <f t="shared" si="63"/>
        <v>551.57616397284983</v>
      </c>
      <c r="T35" s="3">
        <f t="shared" si="63"/>
        <v>588.2849352729703</v>
      </c>
      <c r="U35" s="3">
        <f t="shared" si="63"/>
        <v>629.01414644234012</v>
      </c>
      <c r="V35" s="3">
        <f t="shared" si="63"/>
        <v>674.08185533062317</v>
      </c>
    </row>
    <row r="37" spans="2:22" x14ac:dyDescent="0.25">
      <c r="B37" s="1" t="s">
        <v>79</v>
      </c>
      <c r="K37" s="1">
        <v>420</v>
      </c>
      <c r="L37" s="1">
        <v>440</v>
      </c>
      <c r="M37" s="1">
        <v>561</v>
      </c>
    </row>
    <row r="38" spans="2:22" x14ac:dyDescent="0.25">
      <c r="L38" s="8">
        <f t="shared" ref="L38" si="64">+L37/K37-1</f>
        <v>4.7619047619047672E-2</v>
      </c>
      <c r="M38" s="8">
        <f>+M37/L37-1</f>
        <v>0.27499999999999991</v>
      </c>
    </row>
  </sheetData>
  <hyperlinks>
    <hyperlink ref="A1" location="main!A1" display="main" xr:uid="{BCF06623-64F0-461B-B6EF-C70028D4033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C75E-0DD4-46EA-A5AF-1F32F5D74F63}">
  <dimension ref="B2:K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3.2" x14ac:dyDescent="0.25"/>
  <cols>
    <col min="1" max="1" width="3.33203125" style="1" customWidth="1"/>
    <col min="2" max="2" width="14.6640625" style="1" bestFit="1" customWidth="1"/>
    <col min="3" max="3" width="8.88671875" style="1"/>
    <col min="4" max="4" width="31.109375" style="1" bestFit="1" customWidth="1"/>
    <col min="5" max="5" width="8.88671875" style="1"/>
    <col min="6" max="6" width="10.21875" style="1" bestFit="1" customWidth="1"/>
    <col min="7" max="7" width="12.77734375" style="1" bestFit="1" customWidth="1"/>
    <col min="8" max="9" width="8.88671875" style="1"/>
    <col min="10" max="10" width="11.44140625" style="1" bestFit="1" customWidth="1"/>
    <col min="11" max="16384" width="8.88671875" style="1"/>
  </cols>
  <sheetData>
    <row r="2" spans="2:11" x14ac:dyDescent="0.25">
      <c r="B2" s="4" t="s">
        <v>33</v>
      </c>
      <c r="C2" s="4" t="s">
        <v>35</v>
      </c>
      <c r="D2" s="4" t="s">
        <v>36</v>
      </c>
      <c r="E2" s="4" t="s">
        <v>50</v>
      </c>
      <c r="F2" s="4" t="s">
        <v>52</v>
      </c>
      <c r="G2" s="4" t="s">
        <v>66</v>
      </c>
      <c r="H2" s="4" t="s">
        <v>67</v>
      </c>
      <c r="I2" s="4" t="s">
        <v>68</v>
      </c>
      <c r="J2" s="4" t="s">
        <v>69</v>
      </c>
      <c r="K2" s="4" t="s">
        <v>70</v>
      </c>
    </row>
    <row r="3" spans="2:11" x14ac:dyDescent="0.25">
      <c r="B3" s="1" t="s">
        <v>34</v>
      </c>
      <c r="C3" s="1">
        <v>64</v>
      </c>
      <c r="D3" s="1" t="s">
        <v>45</v>
      </c>
      <c r="E3" s="1">
        <v>2018</v>
      </c>
      <c r="F3" s="1" t="s">
        <v>51</v>
      </c>
      <c r="G3" s="14">
        <v>7.6E-3</v>
      </c>
    </row>
    <row r="4" spans="2:11" x14ac:dyDescent="0.25">
      <c r="B4" s="1" t="s">
        <v>37</v>
      </c>
      <c r="C4" s="1">
        <v>49</v>
      </c>
      <c r="D4" s="1" t="s">
        <v>46</v>
      </c>
      <c r="E4" s="1">
        <v>2018</v>
      </c>
      <c r="F4" s="1" t="s">
        <v>51</v>
      </c>
      <c r="G4" s="15"/>
      <c r="H4" s="1">
        <v>0.65100000000000002</v>
      </c>
      <c r="I4" s="1">
        <v>0.85299999999999998</v>
      </c>
      <c r="J4" s="1">
        <v>1.9159999999999999</v>
      </c>
      <c r="K4" s="1">
        <f>+SUM(H4:J4)</f>
        <v>3.42</v>
      </c>
    </row>
    <row r="5" spans="2:11" x14ac:dyDescent="0.25">
      <c r="B5" s="1" t="s">
        <v>38</v>
      </c>
      <c r="C5" s="1">
        <v>46</v>
      </c>
      <c r="D5" s="1" t="s">
        <v>47</v>
      </c>
      <c r="E5" s="1">
        <v>2017</v>
      </c>
      <c r="F5" s="1" t="s">
        <v>51</v>
      </c>
      <c r="G5" s="15"/>
      <c r="H5" s="1">
        <v>0.41599999999999998</v>
      </c>
      <c r="I5" s="1">
        <v>0.61599999999999999</v>
      </c>
      <c r="J5" s="1">
        <v>0.69099999999999995</v>
      </c>
      <c r="K5" s="1">
        <f t="shared" ref="K5:K12" si="0">+SUM(H5:J5)</f>
        <v>1.7229999999999999</v>
      </c>
    </row>
    <row r="6" spans="2:11" x14ac:dyDescent="0.25">
      <c r="B6" s="1" t="s">
        <v>54</v>
      </c>
      <c r="D6" s="1" t="s">
        <v>53</v>
      </c>
      <c r="E6" s="1">
        <v>2018</v>
      </c>
      <c r="F6" s="1" t="s">
        <v>51</v>
      </c>
      <c r="G6" s="15"/>
      <c r="K6" s="1">
        <f t="shared" si="0"/>
        <v>0</v>
      </c>
    </row>
    <row r="7" spans="2:11" x14ac:dyDescent="0.25">
      <c r="B7" s="1" t="s">
        <v>39</v>
      </c>
      <c r="C7" s="1">
        <v>51</v>
      </c>
      <c r="D7" s="1" t="s">
        <v>48</v>
      </c>
      <c r="G7" s="15"/>
      <c r="K7" s="1">
        <f t="shared" si="0"/>
        <v>0</v>
      </c>
    </row>
    <row r="8" spans="2:11" x14ac:dyDescent="0.25">
      <c r="B8" s="1" t="s">
        <v>40</v>
      </c>
      <c r="C8" s="1">
        <v>54</v>
      </c>
      <c r="D8" s="1" t="s">
        <v>48</v>
      </c>
      <c r="G8" s="15"/>
      <c r="K8" s="1">
        <f t="shared" si="0"/>
        <v>0</v>
      </c>
    </row>
    <row r="9" spans="2:11" x14ac:dyDescent="0.25">
      <c r="B9" s="1" t="s">
        <v>41</v>
      </c>
      <c r="C9" s="1">
        <v>66</v>
      </c>
      <c r="D9" s="1" t="s">
        <v>48</v>
      </c>
      <c r="G9" s="15"/>
      <c r="K9" s="1">
        <f t="shared" si="0"/>
        <v>0</v>
      </c>
    </row>
    <row r="10" spans="2:11" x14ac:dyDescent="0.25">
      <c r="B10" s="1" t="s">
        <v>42</v>
      </c>
      <c r="C10" s="1">
        <v>66</v>
      </c>
      <c r="D10" s="1" t="s">
        <v>48</v>
      </c>
      <c r="G10" s="15"/>
      <c r="K10" s="1">
        <f t="shared" si="0"/>
        <v>0</v>
      </c>
    </row>
    <row r="11" spans="2:11" x14ac:dyDescent="0.25">
      <c r="B11" s="1" t="s">
        <v>43</v>
      </c>
      <c r="C11" s="1">
        <v>62</v>
      </c>
      <c r="D11" s="1" t="s">
        <v>48</v>
      </c>
      <c r="G11" s="15"/>
      <c r="K11" s="1">
        <f t="shared" si="0"/>
        <v>0</v>
      </c>
    </row>
    <row r="12" spans="2:11" x14ac:dyDescent="0.25">
      <c r="B12" s="1" t="s">
        <v>44</v>
      </c>
      <c r="C12" s="1">
        <v>64</v>
      </c>
      <c r="D12" s="1" t="s">
        <v>49</v>
      </c>
      <c r="G12" s="15"/>
      <c r="H12" s="1">
        <v>0.58499999999999996</v>
      </c>
      <c r="I12" s="1">
        <v>0.22800000000000001</v>
      </c>
      <c r="J12" s="1">
        <v>0.54600000000000004</v>
      </c>
      <c r="K12" s="1">
        <f t="shared" si="0"/>
        <v>1.359</v>
      </c>
    </row>
  </sheetData>
  <mergeCells count="1">
    <mergeCell ref="G3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Duarte Morais</dc:creator>
  <cp:lastModifiedBy>Alexandre Duarte Morais</cp:lastModifiedBy>
  <dcterms:created xsi:type="dcterms:W3CDTF">2024-10-08T07:51:55Z</dcterms:created>
  <dcterms:modified xsi:type="dcterms:W3CDTF">2024-10-21T16:14:15Z</dcterms:modified>
</cp:coreProperties>
</file>