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191" documentId="8_{036A2252-C476-4C10-BA15-55CD704B9BC2}" xr6:coauthVersionLast="47" xr6:coauthVersionMax="47" xr10:uidLastSave="{130A265E-2F91-4678-BC0A-4CBFB5095E77}"/>
  <bookViews>
    <workbookView xWindow="14295" yWindow="0" windowWidth="14610" windowHeight="15585" activeTab="1" xr2:uid="{7642991C-9473-466D-8FCB-42766E289A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D43" i="2" s="1"/>
  <c r="C42" i="2"/>
  <c r="D42" i="2" s="1"/>
  <c r="G48" i="2"/>
  <c r="H48" i="2" s="1"/>
  <c r="G43" i="2"/>
  <c r="H43" i="2" s="1"/>
  <c r="G42" i="2"/>
  <c r="H42" i="2" s="1"/>
  <c r="G40" i="2"/>
  <c r="G39" i="2"/>
  <c r="G38" i="2"/>
  <c r="C40" i="2"/>
  <c r="C39" i="2"/>
  <c r="C38" i="2"/>
  <c r="G36" i="2"/>
  <c r="G35" i="2"/>
  <c r="G34" i="2"/>
  <c r="G33" i="2"/>
  <c r="G32" i="2"/>
  <c r="G31" i="2"/>
  <c r="G30" i="2"/>
  <c r="D46" i="2"/>
  <c r="H46" i="2"/>
  <c r="H36" i="2"/>
  <c r="H35" i="2"/>
  <c r="H34" i="2"/>
  <c r="H33" i="2"/>
  <c r="H32" i="2"/>
  <c r="H31" i="2"/>
  <c r="H30" i="2"/>
  <c r="D40" i="2"/>
  <c r="D39" i="2"/>
  <c r="D38" i="2"/>
  <c r="H40" i="2"/>
  <c r="H39" i="2"/>
  <c r="H38" i="2"/>
  <c r="D48" i="2"/>
  <c r="D26" i="2"/>
  <c r="O35" i="2"/>
  <c r="N35" i="2"/>
  <c r="O34" i="2"/>
  <c r="N34" i="2"/>
  <c r="O33" i="2"/>
  <c r="N33" i="2"/>
  <c r="N32" i="2"/>
  <c r="O32" i="2"/>
  <c r="O31" i="2"/>
  <c r="N31" i="2"/>
  <c r="N30" i="2"/>
  <c r="O30" i="2"/>
  <c r="O44" i="2"/>
  <c r="N44" i="2"/>
  <c r="M44" i="2"/>
  <c r="U21" i="2"/>
  <c r="T21" i="2"/>
  <c r="S21" i="2"/>
  <c r="R21" i="2"/>
  <c r="Q21" i="2"/>
  <c r="P21" i="2"/>
  <c r="O21" i="2"/>
  <c r="N21" i="2"/>
  <c r="M21" i="2"/>
  <c r="U14" i="2"/>
  <c r="U17" i="2" s="1"/>
  <c r="T14" i="2"/>
  <c r="T17" i="2" s="1"/>
  <c r="T22" i="2" s="1"/>
  <c r="T24" i="2" s="1"/>
  <c r="T26" i="2" s="1"/>
  <c r="T28" i="2" s="1"/>
  <c r="S14" i="2"/>
  <c r="S17" i="2" s="1"/>
  <c r="S22" i="2" s="1"/>
  <c r="S24" i="2" s="1"/>
  <c r="S26" i="2" s="1"/>
  <c r="S28" i="2" s="1"/>
  <c r="R14" i="2"/>
  <c r="R17" i="2" s="1"/>
  <c r="R22" i="2" s="1"/>
  <c r="R24" i="2" s="1"/>
  <c r="R26" i="2" s="1"/>
  <c r="R28" i="2" s="1"/>
  <c r="Q14" i="2"/>
  <c r="Q17" i="2" s="1"/>
  <c r="P14" i="2"/>
  <c r="P17" i="2" s="1"/>
  <c r="O14" i="2"/>
  <c r="O17" i="2" s="1"/>
  <c r="O38" i="2" s="1"/>
  <c r="N14" i="2"/>
  <c r="N17" i="2" s="1"/>
  <c r="N38" i="2" s="1"/>
  <c r="M14" i="2"/>
  <c r="M17" i="2" s="1"/>
  <c r="M38" i="2" s="1"/>
  <c r="P2" i="2"/>
  <c r="Q2" i="2" s="1"/>
  <c r="R2" i="2" s="1"/>
  <c r="S2" i="2" s="1"/>
  <c r="T2" i="2" s="1"/>
  <c r="U2" i="2" s="1"/>
  <c r="J35" i="2"/>
  <c r="J34" i="2"/>
  <c r="J33" i="2"/>
  <c r="J32" i="2"/>
  <c r="I44" i="2"/>
  <c r="F44" i="2"/>
  <c r="E44" i="2"/>
  <c r="B44" i="2"/>
  <c r="J44" i="2"/>
  <c r="J31" i="2"/>
  <c r="J30" i="2"/>
  <c r="I21" i="2"/>
  <c r="H21" i="2"/>
  <c r="G21" i="2"/>
  <c r="F21" i="2"/>
  <c r="E21" i="2"/>
  <c r="D21" i="2"/>
  <c r="C21" i="2"/>
  <c r="B21" i="2"/>
  <c r="J21" i="2"/>
  <c r="I14" i="2"/>
  <c r="I17" i="2" s="1"/>
  <c r="H14" i="2"/>
  <c r="H17" i="2" s="1"/>
  <c r="G14" i="2"/>
  <c r="G17" i="2" s="1"/>
  <c r="F14" i="2"/>
  <c r="F17" i="2" s="1"/>
  <c r="F38" i="2" s="1"/>
  <c r="E14" i="2"/>
  <c r="E17" i="2" s="1"/>
  <c r="D14" i="2"/>
  <c r="D17" i="2" s="1"/>
  <c r="C14" i="2"/>
  <c r="C17" i="2" s="1"/>
  <c r="B14" i="2"/>
  <c r="B17" i="2" s="1"/>
  <c r="J14" i="2"/>
  <c r="L8" i="1"/>
  <c r="L7" i="1"/>
  <c r="L5" i="1"/>
  <c r="C44" i="2" l="1"/>
  <c r="G44" i="2"/>
  <c r="D44" i="2"/>
  <c r="H44" i="2"/>
  <c r="U22" i="2"/>
  <c r="U24" i="2" s="1"/>
  <c r="U26" i="2" s="1"/>
  <c r="U28" i="2" s="1"/>
  <c r="O36" i="2"/>
  <c r="P22" i="2"/>
  <c r="P24" i="2" s="1"/>
  <c r="P26" i="2" s="1"/>
  <c r="P28" i="2" s="1"/>
  <c r="N36" i="2"/>
  <c r="Q22" i="2"/>
  <c r="Q24" i="2" s="1"/>
  <c r="Q26" i="2" s="1"/>
  <c r="Q28" i="2" s="1"/>
  <c r="O22" i="2"/>
  <c r="N22" i="2"/>
  <c r="M22" i="2"/>
  <c r="I22" i="2"/>
  <c r="I24" i="2" s="1"/>
  <c r="I26" i="2" s="1"/>
  <c r="I28" i="2" s="1"/>
  <c r="E22" i="2"/>
  <c r="E24" i="2" s="1"/>
  <c r="E26" i="2" s="1"/>
  <c r="E28" i="2" s="1"/>
  <c r="J36" i="2"/>
  <c r="H22" i="2"/>
  <c r="H24" i="2" s="1"/>
  <c r="H26" i="2" s="1"/>
  <c r="H28" i="2" s="1"/>
  <c r="D22" i="2"/>
  <c r="D24" i="2" s="1"/>
  <c r="D28" i="2" s="1"/>
  <c r="C22" i="2"/>
  <c r="C24" i="2" s="1"/>
  <c r="C26" i="2" s="1"/>
  <c r="C28" i="2" s="1"/>
  <c r="B22" i="2"/>
  <c r="B24" i="2" s="1"/>
  <c r="B26" i="2" s="1"/>
  <c r="B28" i="2" s="1"/>
  <c r="J17" i="2"/>
  <c r="G22" i="2"/>
  <c r="G24" i="2" s="1"/>
  <c r="G26" i="2" s="1"/>
  <c r="G28" i="2" s="1"/>
  <c r="F22" i="2"/>
  <c r="M24" i="2" l="1"/>
  <c r="M26" i="2" s="1"/>
  <c r="M39" i="2"/>
  <c r="N24" i="2"/>
  <c r="N26" i="2" s="1"/>
  <c r="N39" i="2"/>
  <c r="O24" i="2"/>
  <c r="O26" i="2" s="1"/>
  <c r="O39" i="2"/>
  <c r="F24" i="2"/>
  <c r="F26" i="2" s="1"/>
  <c r="F39" i="2"/>
  <c r="J22" i="2"/>
  <c r="J38" i="2"/>
  <c r="N28" i="2" l="1"/>
  <c r="N40" i="2"/>
  <c r="O28" i="2"/>
  <c r="O40" i="2"/>
  <c r="M28" i="2"/>
  <c r="M40" i="2"/>
  <c r="J24" i="2"/>
  <c r="J26" i="2" s="1"/>
  <c r="J39" i="2"/>
  <c r="F28" i="2"/>
  <c r="F40" i="2"/>
  <c r="J28" i="2" l="1"/>
  <c r="J40" i="2"/>
</calcChain>
</file>

<file path=xl/sharedStrings.xml><?xml version="1.0" encoding="utf-8"?>
<sst xmlns="http://schemas.openxmlformats.org/spreadsheetml/2006/main" count="56" uniqueCount="51">
  <si>
    <t>ticket</t>
  </si>
  <si>
    <t>price</t>
  </si>
  <si>
    <t>S/O</t>
  </si>
  <si>
    <t>MC</t>
  </si>
  <si>
    <t>Cash</t>
  </si>
  <si>
    <t>Debt</t>
  </si>
  <si>
    <t>EV</t>
  </si>
  <si>
    <t>PLUS</t>
  </si>
  <si>
    <t>Q1 2023</t>
  </si>
  <si>
    <t>Q1 2024</t>
  </si>
  <si>
    <t>Product</t>
  </si>
  <si>
    <t>Services</t>
  </si>
  <si>
    <t>Revenue</t>
  </si>
  <si>
    <t>Q2 2023</t>
  </si>
  <si>
    <t>Q3 2023</t>
  </si>
  <si>
    <t>Q4 2023</t>
  </si>
  <si>
    <t>COGS Product</t>
  </si>
  <si>
    <t>COGS Services</t>
  </si>
  <si>
    <t>Gross Profit</t>
  </si>
  <si>
    <t>S&amp;M&amp;Adm</t>
  </si>
  <si>
    <t>D&amp;A</t>
  </si>
  <si>
    <t>Finance costs</t>
  </si>
  <si>
    <t>Total Opex</t>
  </si>
  <si>
    <t>Operating Income</t>
  </si>
  <si>
    <t>Other Income</t>
  </si>
  <si>
    <t>Pretax Income</t>
  </si>
  <si>
    <t>Taxes</t>
  </si>
  <si>
    <t>Net Income</t>
  </si>
  <si>
    <t>Shares</t>
  </si>
  <si>
    <t>EPS</t>
  </si>
  <si>
    <t>Revenue y/y</t>
  </si>
  <si>
    <t>Product y/y</t>
  </si>
  <si>
    <t>Services y/y</t>
  </si>
  <si>
    <t>Gross Margin</t>
  </si>
  <si>
    <t>Operating Margin</t>
  </si>
  <si>
    <t>Net Margin</t>
  </si>
  <si>
    <t>CFFO</t>
  </si>
  <si>
    <t>CAPEX</t>
  </si>
  <si>
    <t>FCF</t>
  </si>
  <si>
    <t>SBC</t>
  </si>
  <si>
    <t>Acquisitions</t>
  </si>
  <si>
    <t>Buybacks</t>
  </si>
  <si>
    <t>Professional Services</t>
  </si>
  <si>
    <t>Managed Services</t>
  </si>
  <si>
    <t>Financing</t>
  </si>
  <si>
    <t>US</t>
  </si>
  <si>
    <t>Non-US</t>
  </si>
  <si>
    <t>Q1 2025</t>
  </si>
  <si>
    <t>Q4 2024</t>
  </si>
  <si>
    <t>Q3 2024</t>
  </si>
  <si>
    <t>Q2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</si>
</sst>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0848-693B-40CF-B8FC-1213E3418056}">
  <dimension ref="K2:L8"/>
  <sheetViews>
    <sheetView workbookViewId="0">
      <selection activeCell="L9" sqref="L9"/>
    </sheetView>
  </sheetViews>
  <sheetFormatPr defaultRowHeight="12.75" x14ac:dyDescent="0.2"/>
  <cols>
    <col min="1" max="16384" width="9.140625" style="1"/>
  </cols>
  <sheetData>
    <row r="2" spans="11:12" x14ac:dyDescent="0.2">
      <c r="K2" s="1" t="s">
        <v>0</v>
      </c>
      <c r="L2" s="1" t="s">
        <v>7</v>
      </c>
    </row>
    <row r="3" spans="11:12" x14ac:dyDescent="0.2">
      <c r="K3" s="1" t="s">
        <v>1</v>
      </c>
      <c r="L3" s="1">
        <v>88.18</v>
      </c>
    </row>
    <row r="4" spans="11:12" x14ac:dyDescent="0.2">
      <c r="K4" s="1" t="s">
        <v>2</v>
      </c>
      <c r="L4" s="1">
        <v>26.864999999999998</v>
      </c>
    </row>
    <row r="5" spans="11:12" x14ac:dyDescent="0.2">
      <c r="K5" s="1" t="s">
        <v>3</v>
      </c>
      <c r="L5" s="2">
        <f>+L3*L4</f>
        <v>2368.9557</v>
      </c>
    </row>
    <row r="6" spans="11:12" x14ac:dyDescent="0.2">
      <c r="K6" s="1" t="s">
        <v>4</v>
      </c>
      <c r="L6" s="2">
        <v>349.90899999999999</v>
      </c>
    </row>
    <row r="7" spans="11:12" x14ac:dyDescent="0.2">
      <c r="K7" s="1" t="s">
        <v>5</v>
      </c>
      <c r="L7" s="2">
        <f>29.898+10.854</f>
        <v>40.751999999999995</v>
      </c>
    </row>
    <row r="8" spans="11:12" x14ac:dyDescent="0.2">
      <c r="K8" s="1" t="s">
        <v>6</v>
      </c>
      <c r="L8" s="2">
        <f>+L5-L6+L7</f>
        <v>2059.7986999999998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BF23-E691-4486-8145-2E08B4E4D834}">
  <dimension ref="A2:AH49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defaultRowHeight="12.75" x14ac:dyDescent="0.2"/>
  <cols>
    <col min="1" max="1" width="19" style="1" bestFit="1" customWidth="1"/>
    <col min="2" max="16384" width="9.140625" style="1"/>
  </cols>
  <sheetData>
    <row r="2" spans="1:34" x14ac:dyDescent="0.2">
      <c r="B2" s="3" t="s">
        <v>8</v>
      </c>
      <c r="C2" s="3" t="s">
        <v>13</v>
      </c>
      <c r="D2" s="3" t="s">
        <v>14</v>
      </c>
      <c r="E2" s="3" t="s">
        <v>15</v>
      </c>
      <c r="F2" s="3" t="s">
        <v>9</v>
      </c>
      <c r="G2" s="3" t="s">
        <v>50</v>
      </c>
      <c r="H2" s="3" t="s">
        <v>49</v>
      </c>
      <c r="I2" s="3" t="s">
        <v>48</v>
      </c>
      <c r="J2" s="3" t="s">
        <v>47</v>
      </c>
      <c r="M2" s="3">
        <v>2022</v>
      </c>
      <c r="N2" s="3">
        <v>2023</v>
      </c>
      <c r="O2" s="3">
        <v>2024</v>
      </c>
      <c r="P2" s="3">
        <f>+O2+1</f>
        <v>2025</v>
      </c>
      <c r="Q2" s="3">
        <f t="shared" ref="Q2:U2" si="0">+P2+1</f>
        <v>2026</v>
      </c>
      <c r="R2" s="3">
        <f t="shared" si="0"/>
        <v>2027</v>
      </c>
      <c r="S2" s="3">
        <f t="shared" si="0"/>
        <v>2028</v>
      </c>
      <c r="T2" s="3">
        <f t="shared" si="0"/>
        <v>2029</v>
      </c>
      <c r="U2" s="3">
        <f t="shared" si="0"/>
        <v>2030</v>
      </c>
    </row>
    <row r="3" spans="1:34" x14ac:dyDescent="0.2">
      <c r="A3" s="1" t="s">
        <v>45</v>
      </c>
      <c r="B3" s="3"/>
      <c r="C3" s="3"/>
      <c r="D3" s="3"/>
      <c r="E3" s="3"/>
      <c r="F3" s="3"/>
      <c r="G3" s="3"/>
      <c r="H3" s="3"/>
      <c r="I3" s="3"/>
      <c r="J3" s="3"/>
      <c r="M3" s="2">
        <v>1716.5250000000001</v>
      </c>
      <c r="N3" s="2">
        <v>1953.4649999999999</v>
      </c>
      <c r="O3" s="2">
        <v>2127.6950000000002</v>
      </c>
      <c r="P3" s="2"/>
      <c r="Q3" s="2"/>
      <c r="R3" s="2"/>
      <c r="S3" s="2"/>
      <c r="T3" s="2"/>
      <c r="U3" s="2"/>
    </row>
    <row r="4" spans="1:34" x14ac:dyDescent="0.2">
      <c r="A4" s="1" t="s">
        <v>46</v>
      </c>
      <c r="B4" s="3"/>
      <c r="C4" s="3"/>
      <c r="D4" s="3"/>
      <c r="E4" s="3"/>
      <c r="F4" s="3"/>
      <c r="G4" s="3"/>
      <c r="H4" s="3"/>
      <c r="I4" s="3"/>
      <c r="J4" s="3"/>
      <c r="M4" s="2">
        <v>104.494</v>
      </c>
      <c r="N4" s="2">
        <v>114.253</v>
      </c>
      <c r="O4" s="2">
        <v>97.606999999999999</v>
      </c>
      <c r="P4" s="2"/>
      <c r="Q4" s="2"/>
      <c r="R4" s="2"/>
      <c r="S4" s="2"/>
      <c r="T4" s="2"/>
      <c r="U4" s="2"/>
    </row>
    <row r="5" spans="1:34" x14ac:dyDescent="0.2">
      <c r="B5" s="3"/>
      <c r="C5" s="3"/>
      <c r="D5" s="3"/>
      <c r="E5" s="3"/>
      <c r="F5" s="3"/>
      <c r="G5" s="3"/>
      <c r="H5" s="3"/>
      <c r="I5" s="3"/>
      <c r="J5" s="3"/>
      <c r="M5" s="3"/>
      <c r="N5" s="3"/>
      <c r="O5" s="3"/>
      <c r="P5" s="3"/>
      <c r="Q5" s="3"/>
      <c r="R5" s="3"/>
      <c r="S5" s="3"/>
      <c r="T5" s="3"/>
      <c r="U5" s="3"/>
    </row>
    <row r="6" spans="1:34" x14ac:dyDescent="0.2">
      <c r="A6" s="1" t="s">
        <v>10</v>
      </c>
      <c r="B6" s="2"/>
      <c r="C6" s="2">
        <v>428.54500000000002</v>
      </c>
      <c r="D6" s="2">
        <v>556.01800000000003</v>
      </c>
      <c r="E6" s="2"/>
      <c r="F6" s="2">
        <v>506.65600000000001</v>
      </c>
      <c r="G6" s="2">
        <v>516.60900000000004</v>
      </c>
      <c r="H6" s="2">
        <v>434.37099999999998</v>
      </c>
      <c r="I6" s="2"/>
      <c r="J6" s="2">
        <v>466.34899999999999</v>
      </c>
      <c r="K6" s="2"/>
      <c r="L6" s="2"/>
      <c r="M6" s="2">
        <v>1580.394</v>
      </c>
      <c r="N6" s="2">
        <v>1803.2750000000001</v>
      </c>
      <c r="O6" s="2">
        <v>1933.2249999999999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1" t="s">
        <v>11</v>
      </c>
      <c r="B7" s="2"/>
      <c r="C7" s="2">
        <v>65.161000000000001</v>
      </c>
      <c r="D7" s="2">
        <v>67.457999999999998</v>
      </c>
      <c r="E7" s="2"/>
      <c r="F7" s="2">
        <v>67.519000000000005</v>
      </c>
      <c r="G7" s="2">
        <v>71.001999999999995</v>
      </c>
      <c r="H7" s="2">
        <v>74.683999999999997</v>
      </c>
      <c r="I7" s="2"/>
      <c r="J7" s="2">
        <v>78.188999999999993</v>
      </c>
      <c r="K7" s="2"/>
      <c r="L7" s="2"/>
      <c r="M7" s="2">
        <v>240.625</v>
      </c>
      <c r="N7" s="2">
        <v>264.44299999999998</v>
      </c>
      <c r="O7" s="2">
        <v>292.077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1" t="s">
        <v>10</v>
      </c>
      <c r="B9" s="2"/>
      <c r="C9" s="2"/>
      <c r="D9" s="2">
        <v>544.31600000000003</v>
      </c>
      <c r="E9" s="2"/>
      <c r="F9" s="2">
        <v>498.166</v>
      </c>
      <c r="G9" s="2"/>
      <c r="H9" s="2">
        <v>419.47800000000001</v>
      </c>
      <c r="I9" s="2"/>
      <c r="J9" s="2">
        <v>457.31200000000001</v>
      </c>
      <c r="K9" s="2"/>
      <c r="L9" s="2"/>
      <c r="M9" s="2">
        <v>1492.4110000000001</v>
      </c>
      <c r="N9" s="2">
        <v>1750.8019999999999</v>
      </c>
      <c r="O9" s="2">
        <v>1883.809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1" t="s">
        <v>42</v>
      </c>
      <c r="B10" s="2"/>
      <c r="C10" s="2"/>
      <c r="D10" s="2">
        <v>39.151000000000003</v>
      </c>
      <c r="E10" s="2"/>
      <c r="F10" s="2">
        <v>35.555999999999997</v>
      </c>
      <c r="G10" s="2"/>
      <c r="H10" s="2">
        <v>40.043999999999997</v>
      </c>
      <c r="I10" s="2"/>
      <c r="J10" s="2">
        <v>37.279000000000003</v>
      </c>
      <c r="K10" s="2"/>
      <c r="L10" s="2"/>
      <c r="M10" s="2">
        <v>146.74700000000001</v>
      </c>
      <c r="N10" s="2">
        <v>151.785</v>
      </c>
      <c r="O10" s="2">
        <v>154.54900000000001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1" t="s">
        <v>43</v>
      </c>
      <c r="B11" s="2"/>
      <c r="C11" s="2"/>
      <c r="D11" s="2">
        <v>28.306999999999999</v>
      </c>
      <c r="E11" s="2"/>
      <c r="F11" s="2">
        <v>31.963000000000001</v>
      </c>
      <c r="G11" s="2"/>
      <c r="H11" s="2">
        <v>34.64</v>
      </c>
      <c r="I11" s="2"/>
      <c r="J11" s="2">
        <v>40.909999999999997</v>
      </c>
      <c r="K11" s="2"/>
      <c r="L11" s="2"/>
      <c r="M11" s="2">
        <v>93.878</v>
      </c>
      <c r="N11" s="2">
        <v>112.658</v>
      </c>
      <c r="O11" s="2">
        <v>137.52799999999999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1" t="s">
        <v>44</v>
      </c>
      <c r="B12" s="2"/>
      <c r="C12" s="2"/>
      <c r="D12" s="2">
        <v>11.702</v>
      </c>
      <c r="E12" s="2"/>
      <c r="F12" s="2">
        <v>8.49</v>
      </c>
      <c r="G12" s="2"/>
      <c r="H12" s="2">
        <v>14.893000000000001</v>
      </c>
      <c r="I12" s="2"/>
      <c r="J12" s="2">
        <v>9.0370000000000008</v>
      </c>
      <c r="K12" s="2"/>
      <c r="L12" s="2"/>
      <c r="M12" s="2">
        <v>87.983000000000004</v>
      </c>
      <c r="N12" s="2">
        <v>52.472999999999999</v>
      </c>
      <c r="O12" s="2">
        <v>49.415999999999997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">
      <c r="A14" s="3" t="s">
        <v>12</v>
      </c>
      <c r="B14" s="4">
        <f t="shared" ref="B14:J14" si="1">+B6+B7</f>
        <v>0</v>
      </c>
      <c r="C14" s="4">
        <f t="shared" si="1"/>
        <v>493.70600000000002</v>
      </c>
      <c r="D14" s="4">
        <f t="shared" si="1"/>
        <v>623.476</v>
      </c>
      <c r="E14" s="4">
        <f t="shared" si="1"/>
        <v>0</v>
      </c>
      <c r="F14" s="4">
        <f t="shared" si="1"/>
        <v>574.17499999999995</v>
      </c>
      <c r="G14" s="4">
        <f t="shared" si="1"/>
        <v>587.61099999999999</v>
      </c>
      <c r="H14" s="4">
        <f t="shared" si="1"/>
        <v>509.05499999999995</v>
      </c>
      <c r="I14" s="4">
        <f t="shared" si="1"/>
        <v>0</v>
      </c>
      <c r="J14" s="4">
        <f t="shared" si="1"/>
        <v>544.53800000000001</v>
      </c>
      <c r="K14" s="2"/>
      <c r="L14" s="2"/>
      <c r="M14" s="4">
        <f t="shared" ref="M14:U14" si="2">+M6+M7</f>
        <v>1821.019</v>
      </c>
      <c r="N14" s="4">
        <f t="shared" si="2"/>
        <v>2067.7179999999998</v>
      </c>
      <c r="O14" s="4">
        <f t="shared" si="2"/>
        <v>2225.3019999999997</v>
      </c>
      <c r="P14" s="4">
        <f t="shared" si="2"/>
        <v>0</v>
      </c>
      <c r="Q14" s="4">
        <f t="shared" si="2"/>
        <v>0</v>
      </c>
      <c r="R14" s="4">
        <f t="shared" si="2"/>
        <v>0</v>
      </c>
      <c r="S14" s="4">
        <f t="shared" si="2"/>
        <v>0</v>
      </c>
      <c r="T14" s="4">
        <f t="shared" si="2"/>
        <v>0</v>
      </c>
      <c r="U14" s="4">
        <f t="shared" si="2"/>
        <v>0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">
      <c r="A15" s="1" t="s">
        <v>16</v>
      </c>
      <c r="B15" s="2"/>
      <c r="C15" s="2">
        <v>317.12700000000001</v>
      </c>
      <c r="D15" s="2">
        <v>441.01499999999999</v>
      </c>
      <c r="E15" s="2"/>
      <c r="F15" s="2">
        <v>388.904</v>
      </c>
      <c r="G15" s="2">
        <v>398.23399999999998</v>
      </c>
      <c r="H15" s="2">
        <v>328.90800000000002</v>
      </c>
      <c r="I15" s="2"/>
      <c r="J15" s="2">
        <v>360.15699999999998</v>
      </c>
      <c r="K15" s="2"/>
      <c r="L15" s="2"/>
      <c r="M15" s="2">
        <v>1210.943</v>
      </c>
      <c r="N15" s="2">
        <v>1379.5</v>
      </c>
      <c r="O15" s="2">
        <v>1493.2929999999999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">
      <c r="A16" s="1" t="s">
        <v>17</v>
      </c>
      <c r="B16" s="2"/>
      <c r="C16" s="2">
        <v>43.274999999999999</v>
      </c>
      <c r="D16" s="2">
        <v>44.088999999999999</v>
      </c>
      <c r="E16" s="2"/>
      <c r="F16" s="2">
        <v>42.997999999999998</v>
      </c>
      <c r="G16" s="2">
        <v>45.012</v>
      </c>
      <c r="H16" s="2">
        <v>46.337000000000003</v>
      </c>
      <c r="I16" s="2"/>
      <c r="J16" s="2">
        <v>49.9</v>
      </c>
      <c r="K16" s="2"/>
      <c r="L16" s="2"/>
      <c r="M16" s="2">
        <v>149.09399999999999</v>
      </c>
      <c r="N16" s="2">
        <v>170.69399999999999</v>
      </c>
      <c r="O16" s="2">
        <v>181.21600000000001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">
      <c r="A17" s="1" t="s">
        <v>18</v>
      </c>
      <c r="B17" s="2">
        <f t="shared" ref="B17:I17" si="3">+B14-B15-B16</f>
        <v>0</v>
      </c>
      <c r="C17" s="2">
        <f t="shared" si="3"/>
        <v>133.304</v>
      </c>
      <c r="D17" s="2">
        <f t="shared" si="3"/>
        <v>138.37200000000001</v>
      </c>
      <c r="E17" s="2">
        <f t="shared" si="3"/>
        <v>0</v>
      </c>
      <c r="F17" s="2">
        <f t="shared" si="3"/>
        <v>142.27299999999997</v>
      </c>
      <c r="G17" s="2">
        <f t="shared" si="3"/>
        <v>144.36500000000001</v>
      </c>
      <c r="H17" s="2">
        <f t="shared" si="3"/>
        <v>133.80999999999995</v>
      </c>
      <c r="I17" s="2">
        <f t="shared" si="3"/>
        <v>0</v>
      </c>
      <c r="J17" s="2">
        <f>+J14-J15-J16</f>
        <v>134.48100000000002</v>
      </c>
      <c r="K17" s="2"/>
      <c r="L17" s="2"/>
      <c r="M17" s="2">
        <f t="shared" ref="M17" si="4">+M14-M15-M16</f>
        <v>460.98200000000003</v>
      </c>
      <c r="N17" s="2">
        <f t="shared" ref="N17" si="5">+N14-N15-N16</f>
        <v>517.52399999999989</v>
      </c>
      <c r="O17" s="2">
        <f t="shared" ref="O17" si="6">+O14-O15-O16</f>
        <v>550.79299999999978</v>
      </c>
      <c r="P17" s="2">
        <f t="shared" ref="P17" si="7">+P14-P15-P16</f>
        <v>0</v>
      </c>
      <c r="Q17" s="2">
        <f t="shared" ref="Q17" si="8">+Q14-Q15-Q16</f>
        <v>0</v>
      </c>
      <c r="R17" s="2">
        <f t="shared" ref="R17" si="9">+R14-R15-R16</f>
        <v>0</v>
      </c>
      <c r="S17" s="2">
        <f t="shared" ref="S17" si="10">+S14-S15-S16</f>
        <v>0</v>
      </c>
      <c r="T17" s="2">
        <f t="shared" ref="T17" si="11">+T14-T15-T16</f>
        <v>0</v>
      </c>
      <c r="U17" s="2">
        <f t="shared" ref="U17" si="12">+U14-U15-U16</f>
        <v>0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">
      <c r="A18" s="1" t="s">
        <v>19</v>
      </c>
      <c r="B18" s="2"/>
      <c r="C18" s="2">
        <v>84.703999999999994</v>
      </c>
      <c r="D18" s="2">
        <v>86.73</v>
      </c>
      <c r="E18" s="2"/>
      <c r="F18" s="2">
        <v>90.298000000000002</v>
      </c>
      <c r="G18" s="2">
        <v>92.652000000000001</v>
      </c>
      <c r="H18" s="2">
        <v>89.381</v>
      </c>
      <c r="I18" s="2"/>
      <c r="J18" s="2">
        <v>93.608000000000004</v>
      </c>
      <c r="K18" s="2"/>
      <c r="L18" s="2"/>
      <c r="M18" s="2">
        <v>297.11700000000002</v>
      </c>
      <c r="N18" s="2">
        <v>333.52</v>
      </c>
      <c r="O18" s="2">
        <v>367.73399999999998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">
      <c r="A19" s="1" t="s">
        <v>20</v>
      </c>
      <c r="B19" s="2"/>
      <c r="C19" s="2">
        <v>3.5680000000000001</v>
      </c>
      <c r="D19" s="2">
        <v>3.609</v>
      </c>
      <c r="E19" s="2"/>
      <c r="F19" s="2">
        <v>4.7919999999999998</v>
      </c>
      <c r="G19" s="2">
        <v>5.63</v>
      </c>
      <c r="H19" s="2">
        <v>5.399</v>
      </c>
      <c r="I19" s="2"/>
      <c r="J19" s="2">
        <v>4.819</v>
      </c>
      <c r="K19" s="2"/>
      <c r="L19" s="2"/>
      <c r="M19" s="2">
        <v>14.646000000000001</v>
      </c>
      <c r="N19" s="2">
        <v>13.709</v>
      </c>
      <c r="O19" s="2">
        <v>21.024999999999999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s="1" t="s">
        <v>21</v>
      </c>
      <c r="B20" s="2"/>
      <c r="C20" s="2">
        <v>0.92500000000000004</v>
      </c>
      <c r="D20" s="2">
        <v>1.575</v>
      </c>
      <c r="E20" s="2"/>
      <c r="F20" s="2">
        <v>0.85099999999999998</v>
      </c>
      <c r="G20" s="2">
        <v>1.22</v>
      </c>
      <c r="H20" s="2">
        <v>0.98299999999999998</v>
      </c>
      <c r="I20" s="2"/>
      <c r="J20" s="2">
        <v>0.58499999999999996</v>
      </c>
      <c r="K20" s="2"/>
      <c r="L20" s="2"/>
      <c r="M20" s="2">
        <v>1.903</v>
      </c>
      <c r="N20" s="2">
        <v>4.133</v>
      </c>
      <c r="O20" s="2">
        <v>3.7770000000000001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">
      <c r="A21" s="1" t="s">
        <v>22</v>
      </c>
      <c r="B21" s="2">
        <f t="shared" ref="B21:I21" si="13">+B18+B19+B20</f>
        <v>0</v>
      </c>
      <c r="C21" s="2">
        <f t="shared" si="13"/>
        <v>89.196999999999989</v>
      </c>
      <c r="D21" s="2">
        <f t="shared" si="13"/>
        <v>91.914000000000001</v>
      </c>
      <c r="E21" s="2">
        <f t="shared" si="13"/>
        <v>0</v>
      </c>
      <c r="F21" s="2">
        <f t="shared" si="13"/>
        <v>95.941000000000003</v>
      </c>
      <c r="G21" s="2">
        <f t="shared" si="13"/>
        <v>99.501999999999995</v>
      </c>
      <c r="H21" s="2">
        <f t="shared" si="13"/>
        <v>95.763000000000005</v>
      </c>
      <c r="I21" s="2">
        <f t="shared" si="13"/>
        <v>0</v>
      </c>
      <c r="J21" s="2">
        <f>+J18+J19+J20</f>
        <v>99.012</v>
      </c>
      <c r="K21" s="2"/>
      <c r="L21" s="2"/>
      <c r="M21" s="2">
        <f t="shared" ref="M21" si="14">+M18+M19+M20</f>
        <v>313.66600000000005</v>
      </c>
      <c r="N21" s="2">
        <f t="shared" ref="N21" si="15">+N18+N19+N20</f>
        <v>351.36199999999997</v>
      </c>
      <c r="O21" s="2">
        <f t="shared" ref="O21" si="16">+O18+O19+O20</f>
        <v>392.53599999999994</v>
      </c>
      <c r="P21" s="2">
        <f t="shared" ref="P21" si="17">+P18+P19+P20</f>
        <v>0</v>
      </c>
      <c r="Q21" s="2">
        <f t="shared" ref="Q21" si="18">+Q18+Q19+Q20</f>
        <v>0</v>
      </c>
      <c r="R21" s="2">
        <f t="shared" ref="R21" si="19">+R18+R19+R20</f>
        <v>0</v>
      </c>
      <c r="S21" s="2">
        <f t="shared" ref="S21" si="20">+S18+S19+S20</f>
        <v>0</v>
      </c>
      <c r="T21" s="2">
        <f t="shared" ref="T21" si="21">+T18+T19+T20</f>
        <v>0</v>
      </c>
      <c r="U21" s="2">
        <f t="shared" ref="U21" si="22">+U18+U19+U20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">
      <c r="A22" s="3" t="s">
        <v>23</v>
      </c>
      <c r="B22" s="4">
        <f t="shared" ref="B22:I22" si="23">+B17-B21</f>
        <v>0</v>
      </c>
      <c r="C22" s="4">
        <f t="shared" si="23"/>
        <v>44.107000000000014</v>
      </c>
      <c r="D22" s="4">
        <f t="shared" si="23"/>
        <v>46.458000000000013</v>
      </c>
      <c r="E22" s="4">
        <f t="shared" si="23"/>
        <v>0</v>
      </c>
      <c r="F22" s="4">
        <f t="shared" si="23"/>
        <v>46.331999999999965</v>
      </c>
      <c r="G22" s="4">
        <f t="shared" si="23"/>
        <v>44.863000000000014</v>
      </c>
      <c r="H22" s="4">
        <f t="shared" si="23"/>
        <v>38.04699999999994</v>
      </c>
      <c r="I22" s="4">
        <f t="shared" si="23"/>
        <v>0</v>
      </c>
      <c r="J22" s="4">
        <f>+J17-J21</f>
        <v>35.469000000000023</v>
      </c>
      <c r="K22" s="2"/>
      <c r="L22" s="2"/>
      <c r="M22" s="4">
        <f t="shared" ref="M22" si="24">+M17-M21</f>
        <v>147.31599999999997</v>
      </c>
      <c r="N22" s="4">
        <f t="shared" ref="N22" si="25">+N17-N21</f>
        <v>166.16199999999992</v>
      </c>
      <c r="O22" s="4">
        <f t="shared" ref="O22" si="26">+O17-O21</f>
        <v>158.25699999999983</v>
      </c>
      <c r="P22" s="4">
        <f t="shared" ref="P22" si="27">+P17-P21</f>
        <v>0</v>
      </c>
      <c r="Q22" s="4">
        <f t="shared" ref="Q22" si="28">+Q17-Q21</f>
        <v>0</v>
      </c>
      <c r="R22" s="4">
        <f t="shared" ref="R22" si="29">+R17-R21</f>
        <v>0</v>
      </c>
      <c r="S22" s="4">
        <f t="shared" ref="S22" si="30">+S17-S21</f>
        <v>0</v>
      </c>
      <c r="T22" s="4">
        <f t="shared" ref="T22" si="31">+T17-T21</f>
        <v>0</v>
      </c>
      <c r="U22" s="4">
        <f t="shared" ref="U22" si="32">+U17-U21</f>
        <v>0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">
      <c r="A23" s="1" t="s">
        <v>24</v>
      </c>
      <c r="B23" s="2"/>
      <c r="C23" s="2">
        <v>-3.8660000000000001</v>
      </c>
      <c r="D23" s="2">
        <v>2.907</v>
      </c>
      <c r="E23" s="2"/>
      <c r="F23" s="2">
        <v>0.19</v>
      </c>
      <c r="G23" s="2">
        <v>0.11700000000000001</v>
      </c>
      <c r="H23" s="2">
        <v>0.36599999999999999</v>
      </c>
      <c r="I23" s="2"/>
      <c r="J23" s="2">
        <v>2.073</v>
      </c>
      <c r="K23" s="2"/>
      <c r="L23" s="2"/>
      <c r="M23" s="2">
        <v>-0.432</v>
      </c>
      <c r="N23" s="2">
        <v>-3.1880000000000002</v>
      </c>
      <c r="O23" s="2">
        <v>2.8359999999999999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">
      <c r="A24" s="1" t="s">
        <v>25</v>
      </c>
      <c r="B24" s="2">
        <f t="shared" ref="B24:I24" si="33">+B22+B23</f>
        <v>0</v>
      </c>
      <c r="C24" s="2">
        <f t="shared" si="33"/>
        <v>40.241000000000014</v>
      </c>
      <c r="D24" s="2">
        <f t="shared" si="33"/>
        <v>49.365000000000009</v>
      </c>
      <c r="E24" s="2">
        <f t="shared" si="33"/>
        <v>0</v>
      </c>
      <c r="F24" s="2">
        <f t="shared" si="33"/>
        <v>46.521999999999963</v>
      </c>
      <c r="G24" s="2">
        <f t="shared" si="33"/>
        <v>44.980000000000011</v>
      </c>
      <c r="H24" s="2">
        <f t="shared" si="33"/>
        <v>38.41299999999994</v>
      </c>
      <c r="I24" s="2">
        <f t="shared" si="33"/>
        <v>0</v>
      </c>
      <c r="J24" s="2">
        <f>+J22+J23</f>
        <v>37.542000000000023</v>
      </c>
      <c r="K24" s="2"/>
      <c r="L24" s="2"/>
      <c r="M24" s="2">
        <f t="shared" ref="M24" si="34">+M22+M23</f>
        <v>146.88399999999999</v>
      </c>
      <c r="N24" s="2">
        <f t="shared" ref="N24" si="35">+N22+N23</f>
        <v>162.97399999999993</v>
      </c>
      <c r="O24" s="2">
        <f t="shared" ref="O24" si="36">+O22+O23</f>
        <v>161.09299999999985</v>
      </c>
      <c r="P24" s="2">
        <f t="shared" ref="P24" si="37">+P22+P23</f>
        <v>0</v>
      </c>
      <c r="Q24" s="2">
        <f t="shared" ref="Q24" si="38">+Q22+Q23</f>
        <v>0</v>
      </c>
      <c r="R24" s="2">
        <f t="shared" ref="R24" si="39">+R22+R23</f>
        <v>0</v>
      </c>
      <c r="S24" s="2">
        <f t="shared" ref="S24" si="40">+S22+S23</f>
        <v>0</v>
      </c>
      <c r="T24" s="2">
        <f t="shared" ref="T24" si="41">+T22+T23</f>
        <v>0</v>
      </c>
      <c r="U24" s="2">
        <f t="shared" ref="U24" si="42">+U22+U23</f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">
      <c r="A25" s="1" t="s">
        <v>26</v>
      </c>
      <c r="B25" s="2"/>
      <c r="C25" s="2">
        <v>11.772</v>
      </c>
      <c r="D25" s="2">
        <v>13.670999999999999</v>
      </c>
      <c r="E25" s="2"/>
      <c r="F25" s="2">
        <v>12.675000000000001</v>
      </c>
      <c r="G25" s="2">
        <v>12.316000000000001</v>
      </c>
      <c r="H25" s="2">
        <v>11.131</v>
      </c>
      <c r="I25" s="2"/>
      <c r="J25" s="2">
        <v>10.202999999999999</v>
      </c>
      <c r="K25" s="2"/>
      <c r="L25" s="2"/>
      <c r="M25" s="2">
        <v>41.283999999999999</v>
      </c>
      <c r="N25" s="2">
        <v>43.618000000000002</v>
      </c>
      <c r="O25" s="2">
        <v>45.317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">
      <c r="A26" s="3" t="s">
        <v>27</v>
      </c>
      <c r="B26" s="4">
        <f t="shared" ref="B26:I26" si="43">+B24-B25</f>
        <v>0</v>
      </c>
      <c r="C26" s="4">
        <f t="shared" si="43"/>
        <v>28.469000000000015</v>
      </c>
      <c r="D26" s="4">
        <f>+D24-D25</f>
        <v>35.69400000000001</v>
      </c>
      <c r="E26" s="4">
        <f t="shared" si="43"/>
        <v>0</v>
      </c>
      <c r="F26" s="4">
        <f t="shared" si="43"/>
        <v>33.846999999999966</v>
      </c>
      <c r="G26" s="4">
        <f t="shared" si="43"/>
        <v>32.664000000000009</v>
      </c>
      <c r="H26" s="4">
        <f t="shared" si="43"/>
        <v>27.28199999999994</v>
      </c>
      <c r="I26" s="4">
        <f t="shared" si="43"/>
        <v>0</v>
      </c>
      <c r="J26" s="4">
        <f>+J24-J25</f>
        <v>27.339000000000024</v>
      </c>
      <c r="K26" s="4"/>
      <c r="L26" s="4"/>
      <c r="M26" s="4">
        <f t="shared" ref="M26" si="44">+M24-M25</f>
        <v>105.6</v>
      </c>
      <c r="N26" s="4">
        <f t="shared" ref="N26" si="45">+N24-N25</f>
        <v>119.35599999999994</v>
      </c>
      <c r="O26" s="4">
        <f t="shared" ref="O26" si="46">+O24-O25</f>
        <v>115.77599999999984</v>
      </c>
      <c r="P26" s="4">
        <f t="shared" ref="P26" si="47">+P24-P25</f>
        <v>0</v>
      </c>
      <c r="Q26" s="4">
        <f t="shared" ref="Q26" si="48">+Q24-Q25</f>
        <v>0</v>
      </c>
      <c r="R26" s="4">
        <f t="shared" ref="R26" si="49">+R24-R25</f>
        <v>0</v>
      </c>
      <c r="S26" s="4">
        <f t="shared" ref="S26" si="50">+S24-S25</f>
        <v>0</v>
      </c>
      <c r="T26" s="4">
        <f t="shared" ref="T26" si="51">+T24-T25</f>
        <v>0</v>
      </c>
      <c r="U26" s="4">
        <f t="shared" ref="U26" si="52">+U24-U25</f>
        <v>0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">
      <c r="A27" s="1" t="s">
        <v>28</v>
      </c>
      <c r="B27" s="2"/>
      <c r="C27" s="2">
        <v>26.623000000000001</v>
      </c>
      <c r="D27" s="2">
        <v>26.648</v>
      </c>
      <c r="E27" s="2"/>
      <c r="F27" s="2">
        <v>26.648</v>
      </c>
      <c r="G27" s="2">
        <v>26.678999999999998</v>
      </c>
      <c r="H27" s="2">
        <v>26.696999999999999</v>
      </c>
      <c r="I27" s="2"/>
      <c r="J27" s="2">
        <v>26.800999999999998</v>
      </c>
      <c r="K27" s="2"/>
      <c r="L27" s="2"/>
      <c r="M27" s="2">
        <v>26.866</v>
      </c>
      <c r="N27" s="2">
        <v>26.654</v>
      </c>
      <c r="O27" s="2">
        <v>26.716999999999999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">
      <c r="A28" s="1" t="s">
        <v>29</v>
      </c>
      <c r="B28" s="5" t="e">
        <f t="shared" ref="B28:I28" si="53">+B26/B27</f>
        <v>#DIV/0!</v>
      </c>
      <c r="C28" s="5">
        <f t="shared" si="53"/>
        <v>1.0693385418623</v>
      </c>
      <c r="D28" s="5">
        <f t="shared" si="53"/>
        <v>1.339462623836686</v>
      </c>
      <c r="E28" s="5" t="e">
        <f t="shared" si="53"/>
        <v>#DIV/0!</v>
      </c>
      <c r="F28" s="5">
        <f t="shared" si="53"/>
        <v>1.2701516061242857</v>
      </c>
      <c r="G28" s="5">
        <f t="shared" si="53"/>
        <v>1.2243337456426406</v>
      </c>
      <c r="H28" s="5">
        <f t="shared" si="53"/>
        <v>1.0219125744465647</v>
      </c>
      <c r="I28" s="5" t="e">
        <f t="shared" si="53"/>
        <v>#DIV/0!</v>
      </c>
      <c r="J28" s="5">
        <f>+J26/J27</f>
        <v>1.02007387784038</v>
      </c>
      <c r="M28" s="5">
        <f t="shared" ref="M28" si="54">+M26/M27</f>
        <v>3.9306186257723517</v>
      </c>
      <c r="N28" s="5">
        <f t="shared" ref="N28" si="55">+N26/N27</f>
        <v>4.4779770390935667</v>
      </c>
      <c r="O28" s="5">
        <f t="shared" ref="O28" si="56">+O26/O27</f>
        <v>4.3334206684882224</v>
      </c>
      <c r="P28" s="5" t="e">
        <f t="shared" ref="P28" si="57">+P26/P27</f>
        <v>#DIV/0!</v>
      </c>
      <c r="Q28" s="5" t="e">
        <f t="shared" ref="Q28" si="58">+Q26/Q27</f>
        <v>#DIV/0!</v>
      </c>
      <c r="R28" s="5" t="e">
        <f t="shared" ref="R28" si="59">+R26/R27</f>
        <v>#DIV/0!</v>
      </c>
      <c r="S28" s="5" t="e">
        <f t="shared" ref="S28" si="60">+S26/S27</f>
        <v>#DIV/0!</v>
      </c>
      <c r="T28" s="5" t="e">
        <f t="shared" ref="T28" si="61">+T26/T27</f>
        <v>#DIV/0!</v>
      </c>
      <c r="U28" s="5" t="e">
        <f t="shared" ref="U28" si="62">+U26/U27</f>
        <v>#DIV/0!</v>
      </c>
    </row>
    <row r="30" spans="1:34" x14ac:dyDescent="0.2">
      <c r="A30" s="1" t="s">
        <v>31</v>
      </c>
      <c r="G30" s="6">
        <f t="shared" ref="G30:G31" si="63">+G6/C6-1</f>
        <v>0.20549533887923088</v>
      </c>
      <c r="H30" s="6">
        <f>+H6/D6-1</f>
        <v>-0.21878248545910395</v>
      </c>
      <c r="J30" s="6">
        <f>+J6/F6-1</f>
        <v>-7.9554964315038279E-2</v>
      </c>
      <c r="N30" s="6">
        <f t="shared" ref="N30" si="64">+N6/M6-1</f>
        <v>0.14102875612030918</v>
      </c>
      <c r="O30" s="6">
        <f>+O6/N6-1</f>
        <v>7.2063329220446004E-2</v>
      </c>
    </row>
    <row r="31" spans="1:34" x14ac:dyDescent="0.2">
      <c r="A31" s="1" t="s">
        <v>32</v>
      </c>
      <c r="G31" s="6">
        <f t="shared" si="63"/>
        <v>8.963950829483891E-2</v>
      </c>
      <c r="H31" s="6">
        <f t="shared" ref="H31:J31" si="65">+H7/D7-1</f>
        <v>0.10711850336505679</v>
      </c>
      <c r="J31" s="6">
        <f t="shared" si="65"/>
        <v>0.15802959167049258</v>
      </c>
      <c r="N31" s="6">
        <f t="shared" ref="N31" si="66">+N7/M7-1</f>
        <v>9.8983896103896019E-2</v>
      </c>
      <c r="O31" s="6">
        <f>+O7/N7-1</f>
        <v>0.10449889011998814</v>
      </c>
    </row>
    <row r="32" spans="1:34" x14ac:dyDescent="0.2">
      <c r="A32" s="1" t="s">
        <v>10</v>
      </c>
      <c r="G32" s="6" t="e">
        <f t="shared" ref="G32:G35" si="67">+G9/C9-1</f>
        <v>#DIV/0!</v>
      </c>
      <c r="H32" s="6">
        <f>+H9/D9-1</f>
        <v>-0.22934839321276612</v>
      </c>
      <c r="J32" s="6">
        <f>+J9/F9-1</f>
        <v>-8.2008808308876913E-2</v>
      </c>
      <c r="N32" s="6">
        <f t="shared" ref="N32" si="68">+N9/M9-1</f>
        <v>0.1731366225523665</v>
      </c>
      <c r="O32" s="6">
        <f>+O9/N9-1</f>
        <v>7.5969184408059887E-2</v>
      </c>
    </row>
    <row r="33" spans="1:15" x14ac:dyDescent="0.2">
      <c r="A33" s="1" t="s">
        <v>42</v>
      </c>
      <c r="G33" s="6" t="e">
        <f t="shared" si="67"/>
        <v>#DIV/0!</v>
      </c>
      <c r="H33" s="6">
        <f t="shared" ref="H33:J35" si="69">+H10/D10-1</f>
        <v>2.2809123649459639E-2</v>
      </c>
      <c r="J33" s="6">
        <f t="shared" si="69"/>
        <v>4.8458769265384394E-2</v>
      </c>
      <c r="N33" s="6">
        <f t="shared" ref="N33:O33" si="70">+N10/M10-1</f>
        <v>3.4331195867717712E-2</v>
      </c>
      <c r="O33" s="6">
        <f t="shared" si="70"/>
        <v>1.8209968046908553E-2</v>
      </c>
    </row>
    <row r="34" spans="1:15" x14ac:dyDescent="0.2">
      <c r="A34" s="1" t="s">
        <v>43</v>
      </c>
      <c r="G34" s="6" t="e">
        <f t="shared" si="67"/>
        <v>#DIV/0!</v>
      </c>
      <c r="H34" s="6">
        <f t="shared" si="69"/>
        <v>0.2237255802451692</v>
      </c>
      <c r="J34" s="6">
        <f t="shared" si="69"/>
        <v>0.27991740449895186</v>
      </c>
      <c r="N34" s="6">
        <f t="shared" ref="N34:O34" si="71">+N11/M11-1</f>
        <v>0.20004686934105975</v>
      </c>
      <c r="O34" s="6">
        <f t="shared" si="71"/>
        <v>0.22075662624935632</v>
      </c>
    </row>
    <row r="35" spans="1:15" x14ac:dyDescent="0.2">
      <c r="A35" s="1" t="s">
        <v>44</v>
      </c>
      <c r="G35" s="6" t="e">
        <f t="shared" si="67"/>
        <v>#DIV/0!</v>
      </c>
      <c r="H35" s="6">
        <f t="shared" si="69"/>
        <v>0.27268842932832005</v>
      </c>
      <c r="J35" s="6">
        <f t="shared" si="69"/>
        <v>6.4428739693757509E-2</v>
      </c>
      <c r="N35" s="6">
        <f t="shared" ref="N35:O35" si="72">+N12/M12-1</f>
        <v>-0.40360069558892064</v>
      </c>
      <c r="O35" s="6">
        <f t="shared" si="72"/>
        <v>-5.8258532959807985E-2</v>
      </c>
    </row>
    <row r="36" spans="1:15" x14ac:dyDescent="0.2">
      <c r="A36" s="1" t="s">
        <v>30</v>
      </c>
      <c r="G36" s="6">
        <f t="shared" ref="G36" si="73">+G14/C14-1</f>
        <v>0.19020429162294961</v>
      </c>
      <c r="H36" s="6">
        <f>+H14/D14-1</f>
        <v>-0.18352109784498527</v>
      </c>
      <c r="J36" s="6">
        <f>+J14/F14-1</f>
        <v>-5.1616667392345494E-2</v>
      </c>
      <c r="N36" s="6">
        <f t="shared" ref="N36" si="74">+N14/M14-1</f>
        <v>0.13547305107744601</v>
      </c>
      <c r="O36" s="6">
        <f>+O14/N14-1</f>
        <v>7.6211553026089618E-2</v>
      </c>
    </row>
    <row r="38" spans="1:15" x14ac:dyDescent="0.2">
      <c r="A38" s="1" t="s">
        <v>33</v>
      </c>
      <c r="C38" s="6">
        <f>+C17/C14</f>
        <v>0.27000684617971021</v>
      </c>
      <c r="D38" s="6">
        <f>+D17/D14</f>
        <v>0.22193636964373931</v>
      </c>
      <c r="F38" s="6">
        <f>+F17/F14</f>
        <v>0.2477868245743893</v>
      </c>
      <c r="G38" s="6">
        <f>+G17/G14</f>
        <v>0.24568124150160567</v>
      </c>
      <c r="H38" s="6">
        <f>+H17/H14</f>
        <v>0.26285961241909017</v>
      </c>
      <c r="I38" s="6"/>
      <c r="J38" s="6">
        <f>+J17/J14</f>
        <v>0.2469634809691886</v>
      </c>
      <c r="M38" s="6">
        <f t="shared" ref="M38:O38" si="75">+M17/M14</f>
        <v>0.25314507976028805</v>
      </c>
      <c r="N38" s="6">
        <f t="shared" si="75"/>
        <v>0.25028751502864505</v>
      </c>
      <c r="O38" s="6">
        <f t="shared" si="75"/>
        <v>0.24751382059603588</v>
      </c>
    </row>
    <row r="39" spans="1:15" x14ac:dyDescent="0.2">
      <c r="A39" s="1" t="s">
        <v>34</v>
      </c>
      <c r="C39" s="6">
        <f>+C22/C14</f>
        <v>8.9338594224092904E-2</v>
      </c>
      <c r="D39" s="6">
        <f>+D22/D14</f>
        <v>7.4514496147405851E-2</v>
      </c>
      <c r="F39" s="6">
        <f>+F22/F14</f>
        <v>8.0693168459093426E-2</v>
      </c>
      <c r="G39" s="6">
        <f>+G22/G14</f>
        <v>7.6348128268531421E-2</v>
      </c>
      <c r="H39" s="6">
        <f>+H22/H14</f>
        <v>7.4740450442486464E-2</v>
      </c>
      <c r="I39" s="6"/>
      <c r="J39" s="6">
        <f>+J22/J14</f>
        <v>6.5135950108165128E-2</v>
      </c>
      <c r="M39" s="6">
        <f t="shared" ref="M39:O39" si="76">+M22/M14</f>
        <v>8.0897563397196837E-2</v>
      </c>
      <c r="N39" s="6">
        <f t="shared" si="76"/>
        <v>8.0360087787599635E-2</v>
      </c>
      <c r="O39" s="6">
        <f t="shared" si="76"/>
        <v>7.1117088826595162E-2</v>
      </c>
    </row>
    <row r="40" spans="1:15" x14ac:dyDescent="0.2">
      <c r="A40" s="1" t="s">
        <v>35</v>
      </c>
      <c r="C40" s="6">
        <f>+C26/C14</f>
        <v>5.7663872831199163E-2</v>
      </c>
      <c r="D40" s="6">
        <f>+D26/D14</f>
        <v>5.724999839608904E-2</v>
      </c>
      <c r="F40" s="6">
        <f>+F26/F14</f>
        <v>5.8948926720947391E-2</v>
      </c>
      <c r="G40" s="6">
        <f>+G26/G14</f>
        <v>5.558779532718075E-2</v>
      </c>
      <c r="H40" s="6">
        <f>+H26/H14</f>
        <v>5.3593423107522652E-2</v>
      </c>
      <c r="I40" s="6"/>
      <c r="J40" s="6">
        <f>+J26/J14</f>
        <v>5.0205862584429412E-2</v>
      </c>
      <c r="M40" s="6">
        <f t="shared" ref="M40:O40" si="77">+M26/M14</f>
        <v>5.7989510268701201E-2</v>
      </c>
      <c r="N40" s="6">
        <f t="shared" si="77"/>
        <v>5.7723538703053294E-2</v>
      </c>
      <c r="O40" s="6">
        <f t="shared" si="77"/>
        <v>5.2027095648141175E-2</v>
      </c>
    </row>
    <row r="42" spans="1:15" x14ac:dyDescent="0.2">
      <c r="A42" s="1" t="s">
        <v>36</v>
      </c>
      <c r="B42" s="2"/>
      <c r="C42" s="2">
        <f>-119.671-B42</f>
        <v>-119.67100000000001</v>
      </c>
      <c r="D42" s="2">
        <f>-147.038-C42-B42</f>
        <v>-27.367000000000004</v>
      </c>
      <c r="E42" s="2"/>
      <c r="F42" s="2">
        <v>-20.9</v>
      </c>
      <c r="G42" s="2">
        <f>10.336-F42</f>
        <v>31.235999999999997</v>
      </c>
      <c r="H42" s="2">
        <f>143.492-G42-F42</f>
        <v>133.15600000000001</v>
      </c>
      <c r="I42" s="2"/>
      <c r="J42" s="2">
        <v>97.126999999999995</v>
      </c>
      <c r="M42" s="2">
        <v>-20.571000000000002</v>
      </c>
      <c r="N42" s="2">
        <v>-15.425000000000001</v>
      </c>
      <c r="O42" s="2">
        <v>248.44900000000001</v>
      </c>
    </row>
    <row r="43" spans="1:15" x14ac:dyDescent="0.2">
      <c r="A43" s="1" t="s">
        <v>37</v>
      </c>
      <c r="B43" s="2"/>
      <c r="C43" s="2">
        <f>2.41-B43</f>
        <v>2.41</v>
      </c>
      <c r="D43" s="2">
        <f>5.661-C43-B43</f>
        <v>3.2509999999999994</v>
      </c>
      <c r="E43" s="2"/>
      <c r="F43" s="2">
        <v>3.698</v>
      </c>
      <c r="G43" s="2">
        <f>5.608-F43</f>
        <v>1.9099999999999997</v>
      </c>
      <c r="H43" s="2">
        <f>7.704-F43-G43</f>
        <v>2.0960000000000005</v>
      </c>
      <c r="I43" s="2"/>
      <c r="J43" s="2">
        <v>1.9670000000000001</v>
      </c>
      <c r="M43" s="2">
        <v>23.181999999999999</v>
      </c>
      <c r="N43" s="2">
        <v>9.3800000000000008</v>
      </c>
      <c r="O43" s="2">
        <v>8.5030000000000001</v>
      </c>
    </row>
    <row r="44" spans="1:15" x14ac:dyDescent="0.2">
      <c r="A44" s="3" t="s">
        <v>38</v>
      </c>
      <c r="B44" s="4">
        <f t="shared" ref="B44:I44" si="78">+B42-B43</f>
        <v>0</v>
      </c>
      <c r="C44" s="4">
        <f t="shared" si="78"/>
        <v>-122.081</v>
      </c>
      <c r="D44" s="4">
        <f t="shared" si="78"/>
        <v>-30.618000000000002</v>
      </c>
      <c r="E44" s="4">
        <f t="shared" si="78"/>
        <v>0</v>
      </c>
      <c r="F44" s="4">
        <f t="shared" si="78"/>
        <v>-24.597999999999999</v>
      </c>
      <c r="G44" s="4">
        <f t="shared" si="78"/>
        <v>29.325999999999997</v>
      </c>
      <c r="H44" s="4">
        <f t="shared" si="78"/>
        <v>131.06</v>
      </c>
      <c r="I44" s="4">
        <f t="shared" si="78"/>
        <v>0</v>
      </c>
      <c r="J44" s="4">
        <f>+J42-J43</f>
        <v>95.16</v>
      </c>
      <c r="M44" s="4">
        <f t="shared" ref="M44:O44" si="79">+M42-M43</f>
        <v>-43.753</v>
      </c>
      <c r="N44" s="4">
        <f t="shared" si="79"/>
        <v>-24.805</v>
      </c>
      <c r="O44" s="4">
        <f t="shared" si="79"/>
        <v>239.94600000000003</v>
      </c>
    </row>
    <row r="45" spans="1:15" x14ac:dyDescent="0.2">
      <c r="A45" s="1" t="s">
        <v>39</v>
      </c>
      <c r="B45" s="2"/>
      <c r="C45" s="2"/>
      <c r="D45" s="2"/>
      <c r="E45" s="2"/>
      <c r="F45" s="2">
        <v>2.2050000000000001</v>
      </c>
      <c r="G45" s="2"/>
      <c r="H45" s="2"/>
      <c r="I45" s="2"/>
      <c r="J45" s="2">
        <v>2.855</v>
      </c>
      <c r="M45" s="2">
        <v>7.1139999999999999</v>
      </c>
      <c r="N45" s="2">
        <v>7.8250000000000002</v>
      </c>
      <c r="O45" s="2">
        <v>9.7309999999999999</v>
      </c>
    </row>
    <row r="46" spans="1:15" x14ac:dyDescent="0.2">
      <c r="A46" s="1" t="s">
        <v>40</v>
      </c>
      <c r="B46" s="2"/>
      <c r="C46" s="2"/>
      <c r="D46" s="2">
        <f>13.288-B46-C46</f>
        <v>13.288</v>
      </c>
      <c r="E46" s="2"/>
      <c r="F46" s="2"/>
      <c r="G46" s="2"/>
      <c r="H46" s="2">
        <f>48.603-F46-G46</f>
        <v>48.603000000000002</v>
      </c>
      <c r="I46" s="2"/>
      <c r="J46" s="2">
        <v>59.594999999999999</v>
      </c>
      <c r="M46" s="2"/>
      <c r="N46" s="2"/>
      <c r="O46" s="2"/>
    </row>
    <row r="47" spans="1:15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1:15" x14ac:dyDescent="0.2">
      <c r="A48" s="1" t="s">
        <v>41</v>
      </c>
      <c r="B48" s="2"/>
      <c r="C48" s="2"/>
      <c r="D48" s="2">
        <f>7.224-B48-C48</f>
        <v>7.2240000000000002</v>
      </c>
      <c r="E48" s="2"/>
      <c r="F48" s="2">
        <v>7.4649999999999999</v>
      </c>
      <c r="G48" s="2">
        <f>8.352-F48</f>
        <v>0.88700000000000045</v>
      </c>
      <c r="H48" s="2">
        <f>9.816-F48-G48</f>
        <v>1.4640000000000004</v>
      </c>
      <c r="I48" s="2"/>
      <c r="J48" s="2">
        <v>11.569000000000001</v>
      </c>
      <c r="M48" s="2">
        <v>13.608000000000001</v>
      </c>
      <c r="N48" s="2">
        <v>7.2240000000000002</v>
      </c>
      <c r="O48" s="2">
        <v>9.8529999999999998</v>
      </c>
    </row>
    <row r="49" spans="13:15" x14ac:dyDescent="0.2">
      <c r="M49" s="2"/>
      <c r="N49" s="2"/>
      <c r="O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alexandreduartemorais@gmail.com</cp:lastModifiedBy>
  <dcterms:created xsi:type="dcterms:W3CDTF">2024-09-07T17:58:40Z</dcterms:created>
  <dcterms:modified xsi:type="dcterms:W3CDTF">2024-09-08T10:24:16Z</dcterms:modified>
</cp:coreProperties>
</file>