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decc0a7aee32c85f/Ambiente de Trabalho/models/"/>
    </mc:Choice>
  </mc:AlternateContent>
  <xr:revisionPtr revIDLastSave="638" documentId="8_{C9CC2945-AFC5-4016-BF58-38813FF84953}" xr6:coauthVersionLast="47" xr6:coauthVersionMax="47" xr10:uidLastSave="{10FA35BD-B851-4B96-AA92-2520C6D88691}"/>
  <bookViews>
    <workbookView xWindow="-96" yWindow="0" windowWidth="11712" windowHeight="12336" xr2:uid="{EA2B973B-02BD-4D03-8F17-A5A71C83199F}"/>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6" i="2" l="1"/>
  <c r="N26" i="2"/>
  <c r="M26" i="2"/>
  <c r="L26" i="2"/>
  <c r="B6" i="1"/>
  <c r="P29" i="2" l="1"/>
  <c r="Q29" i="2" s="1"/>
  <c r="R29" i="2" s="1"/>
  <c r="S29" i="2" s="1"/>
  <c r="T29" i="2" s="1"/>
  <c r="U29" i="2" s="1"/>
  <c r="V29" i="2" s="1"/>
  <c r="J3" i="2"/>
  <c r="J19" i="2" s="1"/>
  <c r="J10" i="2"/>
  <c r="J18" i="1"/>
  <c r="K17" i="1" s="1"/>
  <c r="O24" i="2"/>
  <c r="O27" i="2" s="1"/>
  <c r="I53" i="2"/>
  <c r="I44" i="2"/>
  <c r="I40" i="2"/>
  <c r="I38" i="2"/>
  <c r="O9" i="2"/>
  <c r="O8" i="2"/>
  <c r="P8" i="2" s="1"/>
  <c r="Q8" i="2" s="1"/>
  <c r="R8" i="2" s="1"/>
  <c r="S8" i="2" s="1"/>
  <c r="T8" i="2" s="1"/>
  <c r="U8" i="2" s="1"/>
  <c r="V8" i="2" s="1"/>
  <c r="O7" i="2"/>
  <c r="P7" i="2" s="1"/>
  <c r="Q7" i="2" s="1"/>
  <c r="R7" i="2" s="1"/>
  <c r="S7" i="2" s="1"/>
  <c r="T7" i="2" s="1"/>
  <c r="U7" i="2" s="1"/>
  <c r="V7" i="2" s="1"/>
  <c r="O6" i="2"/>
  <c r="P6" i="2" s="1"/>
  <c r="Q6" i="2" s="1"/>
  <c r="R6" i="2" s="1"/>
  <c r="S6" i="2" s="1"/>
  <c r="T6" i="2" s="1"/>
  <c r="U6" i="2" s="1"/>
  <c r="V6" i="2" s="1"/>
  <c r="O3" i="2"/>
  <c r="I32" i="2"/>
  <c r="H32" i="2"/>
  <c r="G32" i="2"/>
  <c r="F32" i="2"/>
  <c r="E32" i="2"/>
  <c r="D30" i="2"/>
  <c r="C30" i="2"/>
  <c r="B30" i="2"/>
  <c r="G30" i="2"/>
  <c r="F30" i="2"/>
  <c r="E30" i="2"/>
  <c r="I30" i="2"/>
  <c r="I4" i="2"/>
  <c r="I5" i="2" s="1"/>
  <c r="E4" i="2"/>
  <c r="E5" i="2" s="1"/>
  <c r="I24" i="2"/>
  <c r="J24" i="2" s="1"/>
  <c r="I19" i="2"/>
  <c r="I10" i="2"/>
  <c r="H30" i="2"/>
  <c r="D32" i="2"/>
  <c r="I17" i="1"/>
  <c r="I16" i="1"/>
  <c r="H18" i="1"/>
  <c r="D51" i="2"/>
  <c r="D53" i="2" s="1"/>
  <c r="D44" i="2"/>
  <c r="D38" i="2"/>
  <c r="D35" i="2" s="1"/>
  <c r="H51" i="2"/>
  <c r="H53" i="2" s="1"/>
  <c r="H44" i="2"/>
  <c r="H38" i="2"/>
  <c r="H35" i="2" s="1"/>
  <c r="H40" i="2"/>
  <c r="P16" i="2"/>
  <c r="Q16" i="2" s="1"/>
  <c r="R16" i="2" s="1"/>
  <c r="S16" i="2" s="1"/>
  <c r="T16" i="2" s="1"/>
  <c r="U16" i="2" s="1"/>
  <c r="V16" i="2" s="1"/>
  <c r="N35" i="2"/>
  <c r="M35" i="2"/>
  <c r="N24" i="2"/>
  <c r="N27" i="2" s="1"/>
  <c r="M24" i="2"/>
  <c r="M27" i="2" s="1"/>
  <c r="L24" i="2"/>
  <c r="L27" i="2" s="1"/>
  <c r="N19" i="2"/>
  <c r="M19" i="2"/>
  <c r="N4" i="2"/>
  <c r="N5" i="2" s="1"/>
  <c r="M4" i="2"/>
  <c r="M5" i="2" s="1"/>
  <c r="L4" i="2"/>
  <c r="L5" i="2" s="1"/>
  <c r="N10" i="2"/>
  <c r="M10" i="2"/>
  <c r="L10" i="2"/>
  <c r="M2" i="2"/>
  <c r="N2" i="2" s="1"/>
  <c r="O2" i="2" s="1"/>
  <c r="P2" i="2" s="1"/>
  <c r="Q2" i="2" s="1"/>
  <c r="R2" i="2" s="1"/>
  <c r="S2" i="2" s="1"/>
  <c r="T2" i="2" s="1"/>
  <c r="U2" i="2" s="1"/>
  <c r="V2" i="2" s="1"/>
  <c r="B4" i="2"/>
  <c r="B5" i="2" s="1"/>
  <c r="F4" i="2"/>
  <c r="F5" i="2" s="1"/>
  <c r="C4" i="2"/>
  <c r="C5" i="2" s="1"/>
  <c r="G4" i="2"/>
  <c r="G5" i="2" s="1"/>
  <c r="G24" i="2"/>
  <c r="F24" i="2"/>
  <c r="E24" i="2"/>
  <c r="D24" i="2"/>
  <c r="C24" i="2"/>
  <c r="B24" i="2"/>
  <c r="H24" i="2"/>
  <c r="G19" i="2"/>
  <c r="F19" i="2"/>
  <c r="E19" i="2"/>
  <c r="H19" i="2"/>
  <c r="H4" i="2"/>
  <c r="H5" i="2" s="1"/>
  <c r="G10" i="2"/>
  <c r="F10" i="2"/>
  <c r="E10" i="2"/>
  <c r="D10" i="2"/>
  <c r="C10" i="2"/>
  <c r="B10" i="2"/>
  <c r="H10" i="2"/>
  <c r="D4" i="2"/>
  <c r="D5" i="2" s="1"/>
  <c r="B2" i="1" a="1"/>
  <c r="B2" i="1" s="1"/>
  <c r="B4" i="1" s="1"/>
  <c r="O30" i="2" l="1"/>
  <c r="P30" i="2" s="1"/>
  <c r="P3" i="2" s="1"/>
  <c r="P19" i="2" s="1"/>
  <c r="I35" i="2"/>
  <c r="B5" i="1"/>
  <c r="Y6" i="2" s="1"/>
  <c r="I46" i="2"/>
  <c r="J5" i="2"/>
  <c r="J11" i="2" s="1"/>
  <c r="J13" i="2" s="1"/>
  <c r="J15" i="2" s="1"/>
  <c r="J17" i="2" s="1"/>
  <c r="I55" i="2"/>
  <c r="O4" i="2"/>
  <c r="P4" i="2" s="1"/>
  <c r="Q4" i="2" s="1"/>
  <c r="R4" i="2" s="1"/>
  <c r="S4" i="2" s="1"/>
  <c r="T4" i="2" s="1"/>
  <c r="U4" i="2" s="1"/>
  <c r="V4" i="2" s="1"/>
  <c r="K16" i="1"/>
  <c r="Q30" i="2"/>
  <c r="R30" i="2" s="1"/>
  <c r="S30" i="2" s="1"/>
  <c r="T30" i="2" s="1"/>
  <c r="U30" i="2" s="1"/>
  <c r="V30" i="2" s="1"/>
  <c r="I11" i="2"/>
  <c r="I13" i="2" s="1"/>
  <c r="I15" i="2" s="1"/>
  <c r="I17" i="2" s="1"/>
  <c r="E11" i="2"/>
  <c r="E13" i="2" s="1"/>
  <c r="E15" i="2" s="1"/>
  <c r="E17" i="2" s="1"/>
  <c r="D11" i="2"/>
  <c r="D20" i="2" s="1"/>
  <c r="H46" i="2"/>
  <c r="H55" i="2" s="1"/>
  <c r="D46" i="2"/>
  <c r="D55" i="2" s="1"/>
  <c r="O10" i="2"/>
  <c r="R10" i="2"/>
  <c r="Q10" i="2"/>
  <c r="P10" i="2"/>
  <c r="N11" i="2"/>
  <c r="N20" i="2" s="1"/>
  <c r="M11" i="2"/>
  <c r="M20" i="2" s="1"/>
  <c r="L11" i="2"/>
  <c r="L20" i="2" s="1"/>
  <c r="F11" i="2"/>
  <c r="F13" i="2" s="1"/>
  <c r="F15" i="2" s="1"/>
  <c r="F17" i="2" s="1"/>
  <c r="B11" i="2"/>
  <c r="B13" i="2" s="1"/>
  <c r="B15" i="2" s="1"/>
  <c r="B17" i="2" s="1"/>
  <c r="C11" i="2"/>
  <c r="G11" i="2"/>
  <c r="G20" i="2" s="1"/>
  <c r="H11" i="2"/>
  <c r="B7" i="1" l="1"/>
  <c r="J20" i="2"/>
  <c r="I20" i="2"/>
  <c r="Q3" i="2"/>
  <c r="O19" i="2"/>
  <c r="E20" i="2"/>
  <c r="D13" i="2"/>
  <c r="D15" i="2" s="1"/>
  <c r="D17" i="2" s="1"/>
  <c r="O5" i="2"/>
  <c r="O11" i="2" s="1"/>
  <c r="O20" i="2" s="1"/>
  <c r="P5" i="2"/>
  <c r="P11" i="2" s="1"/>
  <c r="P20" i="2" s="1"/>
  <c r="C20" i="2"/>
  <c r="C13" i="2"/>
  <c r="C15" i="2" s="1"/>
  <c r="C17" i="2" s="1"/>
  <c r="S10" i="2"/>
  <c r="N13" i="2"/>
  <c r="N15" i="2" s="1"/>
  <c r="N17" i="2" s="1"/>
  <c r="M13" i="2"/>
  <c r="M15" i="2" s="1"/>
  <c r="M17" i="2" s="1"/>
  <c r="L13" i="2"/>
  <c r="L15" i="2" s="1"/>
  <c r="L17" i="2" s="1"/>
  <c r="F20" i="2"/>
  <c r="B20" i="2"/>
  <c r="G13" i="2"/>
  <c r="G15" i="2" s="1"/>
  <c r="G17" i="2" s="1"/>
  <c r="H13" i="2"/>
  <c r="H15" i="2" s="1"/>
  <c r="H17" i="2" s="1"/>
  <c r="H20" i="2"/>
  <c r="Q19" i="2" l="1"/>
  <c r="Q5" i="2"/>
  <c r="Q11" i="2" s="1"/>
  <c r="Q20" i="2" s="1"/>
  <c r="R3" i="2"/>
  <c r="R19" i="2" s="1"/>
  <c r="O13" i="2"/>
  <c r="O15" i="2" s="1"/>
  <c r="P13" i="2"/>
  <c r="P14" i="2" s="1"/>
  <c r="T10" i="2"/>
  <c r="Q13" i="2" l="1"/>
  <c r="R5" i="2"/>
  <c r="R11" i="2" s="1"/>
  <c r="R20" i="2" s="1"/>
  <c r="S3" i="2"/>
  <c r="V10" i="2"/>
  <c r="O17" i="2"/>
  <c r="O35" i="2"/>
  <c r="P15" i="2"/>
  <c r="Q14" i="2" l="1"/>
  <c r="Q15" i="2" s="1"/>
  <c r="Q17" i="2" s="1"/>
  <c r="R13" i="2"/>
  <c r="S19" i="2"/>
  <c r="S5" i="2"/>
  <c r="S11" i="2" s="1"/>
  <c r="T3" i="2"/>
  <c r="U10" i="2"/>
  <c r="P17" i="2"/>
  <c r="P35" i="2"/>
  <c r="Q35" i="2" l="1"/>
  <c r="R14" i="2"/>
  <c r="R15" i="2" s="1"/>
  <c r="S13" i="2"/>
  <c r="S20" i="2"/>
  <c r="T5" i="2"/>
  <c r="T11" i="2" s="1"/>
  <c r="T19" i="2"/>
  <c r="V3" i="2"/>
  <c r="V5" i="2" s="1"/>
  <c r="V11" i="2" s="1"/>
  <c r="U3" i="2"/>
  <c r="R35" i="2" l="1"/>
  <c r="R17" i="2"/>
  <c r="S14" i="2"/>
  <c r="S15" i="2" s="1"/>
  <c r="S17" i="2" s="1"/>
  <c r="U5" i="2"/>
  <c r="U11" i="2" s="1"/>
  <c r="U13" i="2" s="1"/>
  <c r="U19" i="2"/>
  <c r="V19" i="2"/>
  <c r="T20" i="2"/>
  <c r="T13" i="2"/>
  <c r="V20" i="2"/>
  <c r="V13" i="2"/>
  <c r="V14" i="2" s="1"/>
  <c r="T14" i="2" l="1"/>
  <c r="T15" i="2" s="1"/>
  <c r="T17" i="2" s="1"/>
  <c r="U14" i="2"/>
  <c r="U15" i="2" s="1"/>
  <c r="U17" i="2" s="1"/>
  <c r="S35" i="2"/>
  <c r="U20" i="2"/>
  <c r="V15" i="2"/>
  <c r="T35" i="2" l="1"/>
  <c r="U35" i="2" s="1"/>
  <c r="V35" i="2" s="1"/>
  <c r="V17" i="2"/>
  <c r="W15" i="2"/>
  <c r="X15" i="2" s="1"/>
  <c r="Y15" i="2" s="1"/>
  <c r="Z15" i="2" s="1"/>
  <c r="AA15" i="2" s="1"/>
  <c r="AB15" i="2" s="1"/>
  <c r="AC15" i="2" s="1"/>
  <c r="AD15" i="2" s="1"/>
  <c r="AE15" i="2" s="1"/>
  <c r="AF15" i="2" s="1"/>
  <c r="AG15" i="2" s="1"/>
  <c r="AH15" i="2" s="1"/>
  <c r="AI15" i="2" s="1"/>
  <c r="AJ15" i="2" s="1"/>
  <c r="AK15" i="2" s="1"/>
  <c r="AL15" i="2" s="1"/>
  <c r="AM15" i="2" s="1"/>
  <c r="AN15" i="2" s="1"/>
  <c r="AO15" i="2" s="1"/>
  <c r="AP15" i="2" s="1"/>
  <c r="AQ15" i="2" s="1"/>
  <c r="AR15" i="2" s="1"/>
  <c r="AS15" i="2" s="1"/>
  <c r="AT15" i="2" s="1"/>
  <c r="AU15" i="2" s="1"/>
  <c r="AV15" i="2" s="1"/>
  <c r="AW15" i="2" s="1"/>
  <c r="AX15" i="2" s="1"/>
  <c r="AY15" i="2" s="1"/>
  <c r="AZ15" i="2" s="1"/>
  <c r="BA15" i="2" s="1"/>
  <c r="BB15" i="2" s="1"/>
  <c r="BC15" i="2" s="1"/>
  <c r="BD15" i="2" s="1"/>
  <c r="BE15" i="2" s="1"/>
  <c r="BF15" i="2" s="1"/>
  <c r="BG15" i="2" s="1"/>
  <c r="BH15" i="2" s="1"/>
  <c r="BI15" i="2" s="1"/>
  <c r="BJ15" i="2" s="1"/>
  <c r="BK15" i="2" s="1"/>
  <c r="BL15" i="2" s="1"/>
  <c r="BM15" i="2" s="1"/>
  <c r="BN15" i="2" s="1"/>
  <c r="BO15" i="2" s="1"/>
  <c r="BP15" i="2" s="1"/>
  <c r="BQ15" i="2" s="1"/>
  <c r="BR15" i="2" s="1"/>
  <c r="BS15" i="2" s="1"/>
  <c r="BT15" i="2" s="1"/>
  <c r="BU15" i="2" s="1"/>
  <c r="BV15" i="2" s="1"/>
  <c r="BW15" i="2" s="1"/>
  <c r="BX15" i="2" s="1"/>
  <c r="BY15" i="2" s="1"/>
  <c r="BZ15" i="2" s="1"/>
  <c r="CA15" i="2" s="1"/>
  <c r="CB15" i="2" s="1"/>
  <c r="CC15" i="2" s="1"/>
  <c r="CD15" i="2" s="1"/>
  <c r="CE15" i="2" s="1"/>
  <c r="CF15" i="2" s="1"/>
  <c r="CG15" i="2" s="1"/>
  <c r="CH15" i="2" s="1"/>
  <c r="CI15" i="2" s="1"/>
  <c r="CJ15" i="2" s="1"/>
  <c r="CK15" i="2" s="1"/>
  <c r="CL15" i="2" s="1"/>
  <c r="CM15" i="2" s="1"/>
  <c r="CN15" i="2" s="1"/>
  <c r="CO15" i="2" s="1"/>
  <c r="CP15" i="2" s="1"/>
  <c r="CQ15" i="2" s="1"/>
  <c r="CR15" i="2" s="1"/>
  <c r="Y5" i="2" l="1"/>
  <c r="Y7" i="2" s="1"/>
  <c r="Y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<sst xmlns="http://schemas.openxmlformats.org/spreadsheetml/2006/main" count="77" uniqueCount="72">
  <si>
    <t>ticket</t>
  </si>
  <si>
    <t xml:space="preserve">price </t>
  </si>
  <si>
    <t>shares</t>
  </si>
  <si>
    <t>cash</t>
  </si>
  <si>
    <t>debt</t>
  </si>
  <si>
    <t>mc</t>
  </si>
  <si>
    <t>ev</t>
  </si>
  <si>
    <t>income statement</t>
  </si>
  <si>
    <t>Q3 2022</t>
  </si>
  <si>
    <t>Q3 2023</t>
  </si>
  <si>
    <t>Revenue</t>
  </si>
  <si>
    <t>Cost of transactions</t>
  </si>
  <si>
    <t>S&amp;M</t>
  </si>
  <si>
    <t>R&amp;D</t>
  </si>
  <si>
    <t>G&amp;A</t>
  </si>
  <si>
    <t>Restructuring costs</t>
  </si>
  <si>
    <t>Total Opex</t>
  </si>
  <si>
    <t>Gross Profit</t>
  </si>
  <si>
    <t>Operating Income</t>
  </si>
  <si>
    <t xml:space="preserve">Other Income </t>
  </si>
  <si>
    <t>Pretax Income</t>
  </si>
  <si>
    <t>Taxes</t>
  </si>
  <si>
    <t>Net Income</t>
  </si>
  <si>
    <t>Revenue Y/y</t>
  </si>
  <si>
    <t>Operating Margin</t>
  </si>
  <si>
    <t>Shares</t>
  </si>
  <si>
    <t>EPS</t>
  </si>
  <si>
    <t>CFFO</t>
  </si>
  <si>
    <t>CAPEX</t>
  </si>
  <si>
    <t>FCF</t>
  </si>
  <si>
    <t>Q1 2023</t>
  </si>
  <si>
    <t>Q2 2023</t>
  </si>
  <si>
    <t>Q4 2022</t>
  </si>
  <si>
    <t>Q2 2022</t>
  </si>
  <si>
    <t>Q1 2022</t>
  </si>
  <si>
    <t>net cash</t>
  </si>
  <si>
    <t>Discount</t>
  </si>
  <si>
    <t>maturity</t>
  </si>
  <si>
    <t>npv</t>
  </si>
  <si>
    <t>price</t>
  </si>
  <si>
    <t>balance sheet</t>
  </si>
  <si>
    <t>A/R</t>
  </si>
  <si>
    <t>Customer accounts</t>
  </si>
  <si>
    <t>Prepaid expenses</t>
  </si>
  <si>
    <t>Loans and interest receivable</t>
  </si>
  <si>
    <t>PP&amp;E</t>
  </si>
  <si>
    <t>Goodwill &amp; Intangibles</t>
  </si>
  <si>
    <t>Other Assets</t>
  </si>
  <si>
    <t>Total Assets</t>
  </si>
  <si>
    <t>A/P</t>
  </si>
  <si>
    <t>Funds Payable</t>
  </si>
  <si>
    <t>Accrued Expenses</t>
  </si>
  <si>
    <t>Deferred taxes</t>
  </si>
  <si>
    <t>Debt</t>
  </si>
  <si>
    <t>Total Liabilities</t>
  </si>
  <si>
    <t>S/E</t>
  </si>
  <si>
    <t>news/info:</t>
  </si>
  <si>
    <t>technology platform that enables digital payments and simplifies commerce experiences on behalf of merchants and consumers worldwide.</t>
  </si>
  <si>
    <t>Revenue by Geography</t>
  </si>
  <si>
    <t>US</t>
  </si>
  <si>
    <t>Other Countries</t>
  </si>
  <si>
    <t>buy, sell and hod crypto</t>
  </si>
  <si>
    <t>Active Accounts</t>
  </si>
  <si>
    <t>Payment Transactions</t>
  </si>
  <si>
    <t>TPV</t>
  </si>
  <si>
    <t>Payments per account</t>
  </si>
  <si>
    <t>Revenue per account</t>
  </si>
  <si>
    <t>Q4 2023</t>
  </si>
  <si>
    <t>Q1 2024</t>
  </si>
  <si>
    <t>SBC</t>
  </si>
  <si>
    <t>FCF-SBC</t>
  </si>
  <si>
    <t>SBC %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</si>
</sst>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09]* #,##0.00_);_([$$-409]* \(#,##0.00\);_([$$-409]* &quot;-&quot;??_);_(@_)"/>
    <numFmt numFmtId="165" formatCode="_-[$$-409]* #,##0.00_ ;_-[$$-409]* \-#,##0.00\ ;_-[$$-409]* &quot;-&quot;??_ ;_-@_ "/>
    <numFmt numFmtId="166" formatCode="0.0%"/>
    <numFmt numFmtId="167" formatCode="#,##0.000"/>
    <numFmt numFmtId="168" formatCode="_-[$$-409]* #,##0.00000_ ;_-[$$-409]* \-#,##0.00000\ ;_-[$$-409]* &quot;-&quot;??_ ;_-@_ "/>
  </numFmts>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164" fontId="0" fillId="0" borderId="0" xfId="0" applyNumberFormat="1"/>
    <xf numFmtId="165" fontId="0" fillId="0" borderId="0" xfId="0" applyNumberFormat="1"/>
    <xf numFmtId="0" fontId="2" fillId="0" borderId="0" xfId="0" applyFont="1"/>
    <xf numFmtId="166" fontId="0" fillId="0" borderId="0" xfId="1" applyNumberFormat="1" applyFont="1"/>
    <xf numFmtId="3" fontId="0" fillId="0" borderId="0" xfId="0" applyNumberFormat="1"/>
    <xf numFmtId="3" fontId="2" fillId="0" borderId="0" xfId="0" applyNumberFormat="1" applyFont="1"/>
    <xf numFmtId="9" fontId="0" fillId="0" borderId="0" xfId="0" applyNumberFormat="1"/>
    <xf numFmtId="167" fontId="0" fillId="0" borderId="0" xfId="0" applyNumberFormat="1"/>
    <xf numFmtId="168" fontId="0" fillId="0" borderId="0" xfId="0" applyNumberFormat="1"/>
    <xf numFmtId="10" fontId="0" fillId="0" borderId="0" xfId="1" applyNumberFormat="1" applyFont="1"/>
    <xf numFmtId="14"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15</xdr:col>
      <xdr:colOff>8467</xdr:colOff>
      <xdr:row>1</xdr:row>
      <xdr:rowOff>25400</xdr:rowOff>
    </xdr:from>
    <xdr:to>
      <xdr:col>15</xdr:col>
      <xdr:colOff>16933</xdr:colOff>
      <xdr:row>36</xdr:row>
      <xdr:rowOff>152400</xdr:rowOff>
    </xdr:to>
    <xdr:cxnSp macro="">
      <xdr:nvCxnSpPr>
        <xdr:cNvPr id="3" name="Straight Connector 2">
          <a:extLst>
            <a:ext uri="{FF2B5EF4-FFF2-40B4-BE49-F238E27FC236}">
              <a16:creationId xmlns:a16="http://schemas.microsoft.com/office/drawing/2014/main" id="{EE6820D9-90CD-2CDD-557D-1F61A4F316EC}"/>
            </a:ext>
          </a:extLst>
        </xdr:cNvPr>
        <xdr:cNvCxnSpPr/>
      </xdr:nvCxnSpPr>
      <xdr:spPr>
        <a:xfrm flipH="1">
          <a:off x="9914467" y="25400"/>
          <a:ext cx="8466" cy="608753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16933</xdr:colOff>
      <xdr:row>0</xdr:row>
      <xdr:rowOff>0</xdr:rowOff>
    </xdr:from>
    <xdr:to>
      <xdr:col>9</xdr:col>
      <xdr:colOff>16933</xdr:colOff>
      <xdr:row>37</xdr:row>
      <xdr:rowOff>33867</xdr:rowOff>
    </xdr:to>
    <xdr:cxnSp macro="">
      <xdr:nvCxnSpPr>
        <xdr:cNvPr id="4" name="Straight Connector 3">
          <a:extLst>
            <a:ext uri="{FF2B5EF4-FFF2-40B4-BE49-F238E27FC236}">
              <a16:creationId xmlns:a16="http://schemas.microsoft.com/office/drawing/2014/main" id="{1397D887-29B9-750C-7635-52A4A87533F7}"/>
            </a:ext>
          </a:extLst>
        </xdr:cNvPr>
        <xdr:cNvCxnSpPr/>
      </xdr:nvCxnSpPr>
      <xdr:spPr>
        <a:xfrm>
          <a:off x="6832600" y="0"/>
          <a:ext cx="0" cy="6366934"/>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https://www.bing.com/financeapi/forcetrigger?t=a21icw&amp;q=XNAS%3aPYPL&amp;form=skydnc</v>
    <v>Learn more on Bing</v>
  </rv>
  <rv s="1">
    <v>en-GB</v>
    <v>a21icw</v>
    <v>268435456</v>
    <v>1</v>
    <v>Powered by Refinitiv</v>
    <v>0</v>
    <v>PAYPAL HOLDINGS, INC. (XNAS:PYPL)</v>
    <v>2</v>
    <v>3</v>
    <v>Finance</v>
    <v>4</v>
    <v>82.85</v>
    <v>50.25</v>
    <v>1.45</v>
    <v>2.78</v>
    <v>-1.188E-3</v>
    <v>4.9527999999999996E-2</v>
    <v>-7.0000000000000007E-2</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27200</v>
    <v>Nasdaq Stock Market</v>
    <v>XNAS</v>
    <v>XNAS</v>
    <v>2211 N 1st St, SAN JOSE, CA, 95131 US</v>
    <v>59.22</v>
    <v>Professional &amp; Commercial Services</v>
    <v>Stock</v>
    <v>45332.041404791409</v>
    <v>0</v>
    <v>56.1601</v>
    <v>63513227400</v>
    <v>PAYPAL HOLDINGS, INC.</v>
    <v>PAYPAL HOLDINGS, INC.</v>
    <v>56.204999999999998</v>
    <v>14.585800000000001</v>
    <v>56.13</v>
    <v>58.91</v>
    <v>58.84</v>
    <v>1078140000</v>
    <v>PYPL</v>
    <v>PAYPAL HOLDINGS, INC. (XNAS:PYPL)</v>
    <v>31421423</v>
    <v>22549323</v>
    <v>2015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3150F-DC9A-4138-A0D2-8C7CDCC7DC40}">
  <dimension ref="A1:K18"/>
  <sheetViews>
    <sheetView tabSelected="1" workbookViewId="0">
      <selection activeCell="H7" sqref="H7"/>
    </sheetView>
  </sheetViews>
  <sheetFormatPr defaultRowHeight="14.4" x14ac:dyDescent="0.3"/>
  <cols>
    <col min="2" max="2" width="10.88671875" bestFit="1" customWidth="1"/>
    <col min="4" max="5" width="10.88671875" bestFit="1" customWidth="1"/>
    <col min="7" max="7" width="19.33203125" bestFit="1" customWidth="1"/>
  </cols>
  <sheetData>
    <row r="1" spans="1:11" x14ac:dyDescent="0.3">
      <c r="A1" t="s">
        <v>0</v>
      </c>
      <c r="B1" t="e" vm="1">
        <v>#VALUE!</v>
      </c>
    </row>
    <row r="2" spans="1:11" x14ac:dyDescent="0.3">
      <c r="A2" t="s">
        <v>1</v>
      </c>
      <c r="B2" s="1" cm="1">
        <f t="array" ref="B2">_FV(B1,"Price")</f>
        <v>58.91</v>
      </c>
    </row>
    <row r="3" spans="1:11" x14ac:dyDescent="0.3">
      <c r="A3" t="s">
        <v>2</v>
      </c>
      <c r="B3">
        <v>1078.140224</v>
      </c>
    </row>
    <row r="4" spans="1:11" x14ac:dyDescent="0.3">
      <c r="A4" t="s">
        <v>5</v>
      </c>
      <c r="B4" s="2">
        <f>B2*B3</f>
        <v>63513.240595839998</v>
      </c>
      <c r="D4" s="2"/>
      <c r="E4" s="2"/>
    </row>
    <row r="5" spans="1:11" x14ac:dyDescent="0.3">
      <c r="A5" t="s">
        <v>3</v>
      </c>
      <c r="B5">
        <f>model!I38</f>
        <v>17333</v>
      </c>
      <c r="C5" s="2"/>
      <c r="D5" s="9"/>
    </row>
    <row r="6" spans="1:11" x14ac:dyDescent="0.3">
      <c r="A6" t="s">
        <v>4</v>
      </c>
      <c r="B6">
        <f>model!I52</f>
        <v>9676</v>
      </c>
    </row>
    <row r="7" spans="1:11" x14ac:dyDescent="0.3">
      <c r="A7" t="s">
        <v>6</v>
      </c>
      <c r="B7" s="2">
        <f>B4-B5+B6</f>
        <v>55856.240595839998</v>
      </c>
      <c r="E7" s="10"/>
    </row>
    <row r="9" spans="1:11" x14ac:dyDescent="0.3">
      <c r="A9" t="s">
        <v>56</v>
      </c>
    </row>
    <row r="10" spans="1:11" x14ac:dyDescent="0.3">
      <c r="A10" t="s">
        <v>57</v>
      </c>
    </row>
    <row r="11" spans="1:11" x14ac:dyDescent="0.3">
      <c r="A11" t="s">
        <v>61</v>
      </c>
    </row>
    <row r="15" spans="1:11" x14ac:dyDescent="0.3">
      <c r="G15" t="s">
        <v>58</v>
      </c>
      <c r="H15" s="3" t="s">
        <v>9</v>
      </c>
      <c r="I15" s="3"/>
      <c r="J15" s="3" t="s">
        <v>67</v>
      </c>
    </row>
    <row r="16" spans="1:11" x14ac:dyDescent="0.3">
      <c r="G16" t="s">
        <v>59</v>
      </c>
      <c r="H16">
        <v>4257</v>
      </c>
      <c r="I16" s="7">
        <f>H16/H18</f>
        <v>0.57387435966567812</v>
      </c>
      <c r="J16">
        <v>4639</v>
      </c>
      <c r="K16" s="7">
        <f>J16/J18</f>
        <v>0.577996511338151</v>
      </c>
    </row>
    <row r="17" spans="7:11" x14ac:dyDescent="0.3">
      <c r="G17" t="s">
        <v>60</v>
      </c>
      <c r="H17">
        <v>3161</v>
      </c>
      <c r="I17" s="7">
        <f>H17/H18</f>
        <v>0.42612564033432193</v>
      </c>
      <c r="J17">
        <v>3387</v>
      </c>
      <c r="K17" s="7">
        <f>J17/J18</f>
        <v>0.422003488661849</v>
      </c>
    </row>
    <row r="18" spans="7:11" x14ac:dyDescent="0.3">
      <c r="H18">
        <f>H16+H17</f>
        <v>7418</v>
      </c>
      <c r="J18">
        <f>J16+J17</f>
        <v>8026</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0368F-FB67-4B57-AEBD-4E6F85E13CEB}">
  <dimension ref="A1:CR55"/>
  <sheetViews>
    <sheetView zoomScale="90" zoomScaleNormal="90" workbookViewId="0">
      <pane xSplit="1" ySplit="2" topLeftCell="E6" activePane="bottomRight" state="frozen"/>
      <selection pane="topRight" activeCell="B1" sqref="B1"/>
      <selection pane="bottomLeft" activeCell="A2" sqref="A2"/>
      <selection pane="bottomRight" activeCell="O21" sqref="O21"/>
    </sheetView>
  </sheetViews>
  <sheetFormatPr defaultRowHeight="14.4" x14ac:dyDescent="0.3"/>
  <cols>
    <col min="1" max="1" width="25.88671875" bestFit="1" customWidth="1"/>
    <col min="9" max="9" width="11.21875" bestFit="1" customWidth="1"/>
    <col min="10" max="10" width="8.33203125" bestFit="1" customWidth="1"/>
    <col min="12" max="18" width="9.6640625" bestFit="1" customWidth="1"/>
    <col min="19" max="22" width="9.88671875" bestFit="1" customWidth="1"/>
    <col min="25" max="25" width="13.44140625" bestFit="1" customWidth="1"/>
  </cols>
  <sheetData>
    <row r="1" spans="1:96" x14ac:dyDescent="0.3">
      <c r="I1" s="11">
        <v>45291</v>
      </c>
    </row>
    <row r="2" spans="1:96" x14ac:dyDescent="0.3">
      <c r="A2" t="s">
        <v>7</v>
      </c>
      <c r="B2" s="3" t="s">
        <v>34</v>
      </c>
      <c r="C2" s="3" t="s">
        <v>33</v>
      </c>
      <c r="D2" s="3" t="s">
        <v>8</v>
      </c>
      <c r="E2" s="3" t="s">
        <v>32</v>
      </c>
      <c r="F2" s="3" t="s">
        <v>30</v>
      </c>
      <c r="G2" s="3" t="s">
        <v>31</v>
      </c>
      <c r="H2" s="3" t="s">
        <v>9</v>
      </c>
      <c r="I2" s="3" t="s">
        <v>67</v>
      </c>
      <c r="J2" s="3" t="s">
        <v>68</v>
      </c>
      <c r="L2" s="3">
        <v>2020</v>
      </c>
      <c r="M2" s="3">
        <f>L2+1</f>
        <v>2021</v>
      </c>
      <c r="N2" s="3">
        <f t="shared" ref="N2:V2" si="0">M2+1</f>
        <v>2022</v>
      </c>
      <c r="O2" s="3">
        <f t="shared" si="0"/>
        <v>2023</v>
      </c>
      <c r="P2" s="3">
        <f t="shared" si="0"/>
        <v>2024</v>
      </c>
      <c r="Q2" s="3">
        <f t="shared" si="0"/>
        <v>2025</v>
      </c>
      <c r="R2" s="3">
        <f t="shared" si="0"/>
        <v>2026</v>
      </c>
      <c r="S2" s="3">
        <f t="shared" si="0"/>
        <v>2027</v>
      </c>
      <c r="T2" s="3">
        <f t="shared" si="0"/>
        <v>2028</v>
      </c>
      <c r="U2" s="3">
        <f t="shared" si="0"/>
        <v>2029</v>
      </c>
      <c r="V2" s="3">
        <f t="shared" si="0"/>
        <v>2030</v>
      </c>
    </row>
    <row r="3" spans="1:96" x14ac:dyDescent="0.3">
      <c r="A3" t="s">
        <v>10</v>
      </c>
      <c r="B3">
        <v>6483</v>
      </c>
      <c r="C3">
        <v>6806</v>
      </c>
      <c r="D3">
        <v>6846</v>
      </c>
      <c r="E3">
        <v>7383</v>
      </c>
      <c r="F3">
        <v>7040</v>
      </c>
      <c r="G3">
        <v>7287</v>
      </c>
      <c r="H3">
        <v>7418</v>
      </c>
      <c r="I3">
        <v>8026</v>
      </c>
      <c r="J3" s="5">
        <f>F3*1.065</f>
        <v>7497.5999999999995</v>
      </c>
      <c r="L3" s="5">
        <v>21454</v>
      </c>
      <c r="M3" s="5">
        <v>25371</v>
      </c>
      <c r="N3" s="5">
        <v>27518</v>
      </c>
      <c r="O3" s="5">
        <f>SUM(F3:I3)</f>
        <v>29771</v>
      </c>
      <c r="P3" s="5">
        <f>P29*P30</f>
        <v>31656.52068000954</v>
      </c>
      <c r="Q3" s="5">
        <f t="shared" ref="Q3:V3" si="1">Q29*Q30</f>
        <v>33891.471040018216</v>
      </c>
      <c r="R3" s="5">
        <f t="shared" si="1"/>
        <v>36284.208895443502</v>
      </c>
      <c r="S3" s="5">
        <f t="shared" si="1"/>
        <v>38845.874043461816</v>
      </c>
      <c r="T3" s="5">
        <f t="shared" si="1"/>
        <v>41588.392750930223</v>
      </c>
      <c r="U3" s="5">
        <f t="shared" si="1"/>
        <v>44524.5332791459</v>
      </c>
      <c r="V3" s="5">
        <f t="shared" si="1"/>
        <v>47667.965328653598</v>
      </c>
      <c r="X3" t="s">
        <v>36</v>
      </c>
      <c r="Y3" s="7">
        <v>0.1</v>
      </c>
    </row>
    <row r="4" spans="1:96" x14ac:dyDescent="0.3">
      <c r="A4" t="s">
        <v>11</v>
      </c>
      <c r="B4">
        <f>2817+369+534</f>
        <v>3720</v>
      </c>
      <c r="C4">
        <f>3044+448+536</f>
        <v>4028</v>
      </c>
      <c r="D4">
        <f>2988+367+509</f>
        <v>3864</v>
      </c>
      <c r="E4">
        <f>3324+388+541</f>
        <v>4253</v>
      </c>
      <c r="F4">
        <f>3283+442+488</f>
        <v>4213</v>
      </c>
      <c r="G4">
        <f>3541+398+492</f>
        <v>4431</v>
      </c>
      <c r="H4">
        <f>3603+446+474</f>
        <v>4523</v>
      </c>
      <c r="I4">
        <f>3958+396+465</f>
        <v>4819</v>
      </c>
      <c r="J4" s="5"/>
      <c r="L4" s="5">
        <f>7934+1741+1778</f>
        <v>11453</v>
      </c>
      <c r="M4" s="5">
        <f>10315+1060+2075</f>
        <v>13450</v>
      </c>
      <c r="N4" s="5">
        <f>12173+1572+2120</f>
        <v>15865</v>
      </c>
      <c r="O4" s="5">
        <f>SUM(F4:I4)</f>
        <v>17986</v>
      </c>
      <c r="P4" s="5">
        <f t="shared" ref="P4:V4" si="2">O4*1.05</f>
        <v>18885.3</v>
      </c>
      <c r="Q4" s="5">
        <f t="shared" si="2"/>
        <v>19829.564999999999</v>
      </c>
      <c r="R4" s="5">
        <f t="shared" si="2"/>
        <v>20821.043249999999</v>
      </c>
      <c r="S4" s="5">
        <f t="shared" si="2"/>
        <v>21862.095412499999</v>
      </c>
      <c r="T4" s="5">
        <f t="shared" si="2"/>
        <v>22955.200183124998</v>
      </c>
      <c r="U4" s="5">
        <f t="shared" si="2"/>
        <v>24102.960192281251</v>
      </c>
      <c r="V4" s="5">
        <f t="shared" si="2"/>
        <v>25308.108201895313</v>
      </c>
      <c r="X4" t="s">
        <v>37</v>
      </c>
      <c r="Y4" s="7">
        <v>-0.03</v>
      </c>
    </row>
    <row r="5" spans="1:96" x14ac:dyDescent="0.3">
      <c r="A5" t="s">
        <v>17</v>
      </c>
      <c r="B5">
        <f t="shared" ref="B5:C5" si="3">B3-B4</f>
        <v>2763</v>
      </c>
      <c r="C5">
        <f t="shared" si="3"/>
        <v>2778</v>
      </c>
      <c r="D5">
        <f>D3-D4</f>
        <v>2982</v>
      </c>
      <c r="E5">
        <f t="shared" ref="E5:V5" si="4">E3-E4</f>
        <v>3130</v>
      </c>
      <c r="F5">
        <f t="shared" si="4"/>
        <v>2827</v>
      </c>
      <c r="G5">
        <f t="shared" si="4"/>
        <v>2856</v>
      </c>
      <c r="H5">
        <f t="shared" si="4"/>
        <v>2895</v>
      </c>
      <c r="I5">
        <f t="shared" ref="I5:J5" si="5">I3-I4</f>
        <v>3207</v>
      </c>
      <c r="J5" s="5">
        <f t="shared" si="5"/>
        <v>7497.5999999999995</v>
      </c>
      <c r="L5" s="5">
        <f t="shared" si="4"/>
        <v>10001</v>
      </c>
      <c r="M5" s="5">
        <f t="shared" si="4"/>
        <v>11921</v>
      </c>
      <c r="N5" s="5">
        <f t="shared" si="4"/>
        <v>11653</v>
      </c>
      <c r="O5" s="5">
        <f t="shared" si="4"/>
        <v>11785</v>
      </c>
      <c r="P5" s="5">
        <f t="shared" si="4"/>
        <v>12771.220680009541</v>
      </c>
      <c r="Q5" s="5">
        <f t="shared" si="4"/>
        <v>14061.906040018217</v>
      </c>
      <c r="R5" s="5">
        <f t="shared" si="4"/>
        <v>15463.165645443503</v>
      </c>
      <c r="S5" s="5">
        <f t="shared" si="4"/>
        <v>16983.778630961817</v>
      </c>
      <c r="T5" s="5">
        <f t="shared" si="4"/>
        <v>18633.192567805225</v>
      </c>
      <c r="U5" s="5">
        <f t="shared" si="4"/>
        <v>20421.57308686465</v>
      </c>
      <c r="V5" s="5">
        <f t="shared" si="4"/>
        <v>22359.857126758285</v>
      </c>
      <c r="X5" t="s">
        <v>38</v>
      </c>
      <c r="Y5" s="2">
        <f>NPV(Y3,O15:CR15)</f>
        <v>73523.877997438525</v>
      </c>
    </row>
    <row r="6" spans="1:96" x14ac:dyDescent="0.3">
      <c r="A6" t="s">
        <v>12</v>
      </c>
      <c r="B6">
        <v>594</v>
      </c>
      <c r="C6">
        <v>595</v>
      </c>
      <c r="D6">
        <v>544</v>
      </c>
      <c r="E6">
        <v>524</v>
      </c>
      <c r="F6">
        <v>436</v>
      </c>
      <c r="G6">
        <v>465</v>
      </c>
      <c r="H6">
        <v>442</v>
      </c>
      <c r="I6">
        <v>466</v>
      </c>
      <c r="J6" s="5"/>
      <c r="L6" s="5">
        <v>1861</v>
      </c>
      <c r="M6" s="5">
        <v>2445</v>
      </c>
      <c r="N6" s="5">
        <v>2257</v>
      </c>
      <c r="O6" s="5">
        <f t="shared" ref="O6:O9" si="6">SUM(F6:I6)</f>
        <v>1809</v>
      </c>
      <c r="P6" s="5">
        <f t="shared" ref="P6:Q6" si="7">O6*0.99</f>
        <v>1790.91</v>
      </c>
      <c r="Q6" s="5">
        <f t="shared" si="7"/>
        <v>1773.0009</v>
      </c>
      <c r="R6" s="5">
        <f>Q6*1.02</f>
        <v>1808.460918</v>
      </c>
      <c r="S6" s="5">
        <f t="shared" ref="S6:V6" si="8">R6*1.02</f>
        <v>1844.6301363600001</v>
      </c>
      <c r="T6" s="5">
        <f t="shared" si="8"/>
        <v>1881.5227390872001</v>
      </c>
      <c r="U6" s="5">
        <f t="shared" si="8"/>
        <v>1919.1531938689441</v>
      </c>
      <c r="V6" s="5">
        <f t="shared" si="8"/>
        <v>1957.5362577463229</v>
      </c>
      <c r="X6" t="s">
        <v>35</v>
      </c>
      <c r="Y6" s="2">
        <f>main!B5-main!B6</f>
        <v>7657</v>
      </c>
    </row>
    <row r="7" spans="1:96" x14ac:dyDescent="0.3">
      <c r="A7" t="s">
        <v>13</v>
      </c>
      <c r="B7">
        <v>815</v>
      </c>
      <c r="C7">
        <v>815</v>
      </c>
      <c r="D7">
        <v>801</v>
      </c>
      <c r="E7">
        <v>822</v>
      </c>
      <c r="F7">
        <v>721</v>
      </c>
      <c r="G7">
        <v>743</v>
      </c>
      <c r="H7">
        <v>739</v>
      </c>
      <c r="I7">
        <v>770</v>
      </c>
      <c r="J7" s="5"/>
      <c r="L7" s="5">
        <v>2642</v>
      </c>
      <c r="M7" s="5">
        <v>3038</v>
      </c>
      <c r="N7" s="5">
        <v>3253</v>
      </c>
      <c r="O7" s="5">
        <f t="shared" si="6"/>
        <v>2973</v>
      </c>
      <c r="P7" s="5">
        <f>O7*1.015</f>
        <v>3017.5949999999998</v>
      </c>
      <c r="Q7" s="5">
        <f>P7*1.02</f>
        <v>3077.9468999999999</v>
      </c>
      <c r="R7" s="5">
        <f>Q7*1.025</f>
        <v>3154.8955724999996</v>
      </c>
      <c r="S7" s="5">
        <f t="shared" ref="S7:V7" si="9">R7*1.025</f>
        <v>3233.7679618124994</v>
      </c>
      <c r="T7" s="5">
        <f t="shared" si="9"/>
        <v>3314.6121608578114</v>
      </c>
      <c r="U7" s="5">
        <f t="shared" si="9"/>
        <v>3397.4774648792563</v>
      </c>
      <c r="V7" s="5">
        <f t="shared" si="9"/>
        <v>3482.4144015012375</v>
      </c>
      <c r="X7" t="s">
        <v>6</v>
      </c>
      <c r="Y7" s="2">
        <f>Y5+Y6</f>
        <v>81180.877997438525</v>
      </c>
    </row>
    <row r="8" spans="1:96" x14ac:dyDescent="0.3">
      <c r="A8" t="s">
        <v>14</v>
      </c>
      <c r="B8">
        <v>607</v>
      </c>
      <c r="C8">
        <v>514</v>
      </c>
      <c r="D8">
        <v>463</v>
      </c>
      <c r="E8">
        <v>515</v>
      </c>
      <c r="F8">
        <v>507</v>
      </c>
      <c r="G8">
        <v>491</v>
      </c>
      <c r="H8">
        <v>507</v>
      </c>
      <c r="I8">
        <v>554</v>
      </c>
      <c r="J8" s="5"/>
      <c r="L8" s="5">
        <v>2070</v>
      </c>
      <c r="M8" s="5">
        <v>2114</v>
      </c>
      <c r="N8" s="5">
        <v>2099</v>
      </c>
      <c r="O8" s="5">
        <f t="shared" si="6"/>
        <v>2059</v>
      </c>
      <c r="P8" s="5">
        <f>O8*1.01</f>
        <v>2079.59</v>
      </c>
      <c r="Q8" s="5">
        <f>P8*1.01</f>
        <v>2100.3859000000002</v>
      </c>
      <c r="R8" s="5">
        <f>Q8*1.02</f>
        <v>2142.3936180000001</v>
      </c>
      <c r="S8" s="5">
        <f t="shared" ref="S8:V8" si="10">R8*1.02</f>
        <v>2185.2414903600002</v>
      </c>
      <c r="T8" s="5">
        <f t="shared" si="10"/>
        <v>2228.9463201672002</v>
      </c>
      <c r="U8" s="5">
        <f t="shared" si="10"/>
        <v>2273.5252465705444</v>
      </c>
      <c r="V8" s="5">
        <f t="shared" si="10"/>
        <v>2318.9957515019555</v>
      </c>
      <c r="X8" t="s">
        <v>39</v>
      </c>
      <c r="Y8" s="2">
        <f>Y7/main!B3</f>
        <v>75.297142422021835</v>
      </c>
    </row>
    <row r="9" spans="1:96" x14ac:dyDescent="0.3">
      <c r="A9" t="s">
        <v>15</v>
      </c>
      <c r="B9">
        <v>36</v>
      </c>
      <c r="C9">
        <v>90</v>
      </c>
      <c r="D9">
        <v>56</v>
      </c>
      <c r="E9">
        <v>25</v>
      </c>
      <c r="F9">
        <v>164</v>
      </c>
      <c r="G9">
        <v>24</v>
      </c>
      <c r="H9">
        <v>39</v>
      </c>
      <c r="I9">
        <v>-311</v>
      </c>
      <c r="J9" s="5"/>
      <c r="L9" s="5">
        <v>139</v>
      </c>
      <c r="M9" s="5">
        <v>62</v>
      </c>
      <c r="N9" s="5">
        <v>207</v>
      </c>
      <c r="O9" s="5">
        <f t="shared" si="6"/>
        <v>-84</v>
      </c>
      <c r="P9" s="5">
        <v>0</v>
      </c>
      <c r="Q9" s="5">
        <v>0</v>
      </c>
      <c r="R9" s="5">
        <v>0</v>
      </c>
      <c r="S9" s="5">
        <v>0</v>
      </c>
      <c r="T9" s="5">
        <v>0</v>
      </c>
      <c r="U9" s="5">
        <v>0</v>
      </c>
      <c r="V9" s="5">
        <v>0</v>
      </c>
    </row>
    <row r="10" spans="1:96" x14ac:dyDescent="0.3">
      <c r="A10" t="s">
        <v>16</v>
      </c>
      <c r="B10">
        <f t="shared" ref="B10:G10" si="11">SUM(B6:B9)</f>
        <v>2052</v>
      </c>
      <c r="C10">
        <f t="shared" si="11"/>
        <v>2014</v>
      </c>
      <c r="D10">
        <f t="shared" si="11"/>
        <v>1864</v>
      </c>
      <c r="E10">
        <f t="shared" si="11"/>
        <v>1886</v>
      </c>
      <c r="F10">
        <f t="shared" si="11"/>
        <v>1828</v>
      </c>
      <c r="G10">
        <f t="shared" si="11"/>
        <v>1723</v>
      </c>
      <c r="H10">
        <f>SUM(H6:H9)</f>
        <v>1727</v>
      </c>
      <c r="I10">
        <f>SUM(I6:I9)</f>
        <v>1479</v>
      </c>
      <c r="J10" s="5">
        <f>SUM(J6:J9)</f>
        <v>0</v>
      </c>
      <c r="L10" s="5">
        <f t="shared" ref="L10:V10" si="12">SUM(L6:L9)</f>
        <v>6712</v>
      </c>
      <c r="M10" s="5">
        <f t="shared" si="12"/>
        <v>7659</v>
      </c>
      <c r="N10" s="5">
        <f t="shared" si="12"/>
        <v>7816</v>
      </c>
      <c r="O10" s="5">
        <f t="shared" si="12"/>
        <v>6757</v>
      </c>
      <c r="P10" s="5">
        <f t="shared" si="12"/>
        <v>6888.0950000000003</v>
      </c>
      <c r="Q10" s="5">
        <f t="shared" si="12"/>
        <v>6951.3337000000001</v>
      </c>
      <c r="R10" s="5">
        <f t="shared" si="12"/>
        <v>7105.7501084999994</v>
      </c>
      <c r="S10" s="5">
        <f t="shared" si="12"/>
        <v>7263.6395885325001</v>
      </c>
      <c r="T10" s="5">
        <f t="shared" si="12"/>
        <v>7425.0812201122117</v>
      </c>
      <c r="U10" s="5">
        <f t="shared" si="12"/>
        <v>7590.1559053187448</v>
      </c>
      <c r="V10" s="5">
        <f t="shared" si="12"/>
        <v>7758.9464107495169</v>
      </c>
      <c r="Y10" s="2"/>
      <c r="Z10" s="2"/>
    </row>
    <row r="11" spans="1:96" x14ac:dyDescent="0.3">
      <c r="A11" s="3" t="s">
        <v>18</v>
      </c>
      <c r="B11" s="3">
        <f t="shared" ref="B11:C11" si="13">B5-B10</f>
        <v>711</v>
      </c>
      <c r="C11" s="3">
        <f t="shared" si="13"/>
        <v>764</v>
      </c>
      <c r="D11" s="3">
        <f>D5-D10</f>
        <v>1118</v>
      </c>
      <c r="E11" s="3">
        <f t="shared" ref="E11:V11" si="14">E5-E10</f>
        <v>1244</v>
      </c>
      <c r="F11" s="3">
        <f t="shared" si="14"/>
        <v>999</v>
      </c>
      <c r="G11" s="3">
        <f t="shared" si="14"/>
        <v>1133</v>
      </c>
      <c r="H11" s="3">
        <f t="shared" si="14"/>
        <v>1168</v>
      </c>
      <c r="I11" s="3">
        <f t="shared" ref="I11:J11" si="15">I5-I10</f>
        <v>1728</v>
      </c>
      <c r="J11" s="6">
        <f t="shared" si="15"/>
        <v>7497.5999999999995</v>
      </c>
      <c r="L11" s="6">
        <f t="shared" si="14"/>
        <v>3289</v>
      </c>
      <c r="M11" s="6">
        <f t="shared" si="14"/>
        <v>4262</v>
      </c>
      <c r="N11" s="6">
        <f t="shared" si="14"/>
        <v>3837</v>
      </c>
      <c r="O11" s="6">
        <f t="shared" si="14"/>
        <v>5028</v>
      </c>
      <c r="P11" s="6">
        <f t="shared" si="14"/>
        <v>5883.1256800095407</v>
      </c>
      <c r="Q11" s="6">
        <f t="shared" si="14"/>
        <v>7110.5723400182169</v>
      </c>
      <c r="R11" s="6">
        <f t="shared" si="14"/>
        <v>8357.415536943503</v>
      </c>
      <c r="S11" s="6">
        <f t="shared" si="14"/>
        <v>9720.1390424293168</v>
      </c>
      <c r="T11" s="6">
        <f t="shared" si="14"/>
        <v>11208.111347693013</v>
      </c>
      <c r="U11" s="6">
        <f t="shared" si="14"/>
        <v>12831.417181545905</v>
      </c>
      <c r="V11" s="6">
        <f t="shared" si="14"/>
        <v>14600.910716008768</v>
      </c>
    </row>
    <row r="12" spans="1:96" x14ac:dyDescent="0.3">
      <c r="A12" t="s">
        <v>19</v>
      </c>
      <c r="B12">
        <v>-82</v>
      </c>
      <c r="C12">
        <v>-715</v>
      </c>
      <c r="D12">
        <v>460</v>
      </c>
      <c r="E12">
        <v>-134</v>
      </c>
      <c r="F12">
        <v>75</v>
      </c>
      <c r="G12">
        <v>170</v>
      </c>
      <c r="H12">
        <v>73</v>
      </c>
      <c r="I12">
        <v>65</v>
      </c>
      <c r="J12" s="5"/>
      <c r="L12" s="5">
        <v>1776</v>
      </c>
      <c r="M12" s="5">
        <v>-163</v>
      </c>
      <c r="N12" s="5">
        <v>-471</v>
      </c>
      <c r="O12" s="5">
        <v>383</v>
      </c>
      <c r="P12" s="5">
        <v>50</v>
      </c>
      <c r="Q12" s="5">
        <v>50</v>
      </c>
      <c r="R12" s="5">
        <v>50</v>
      </c>
      <c r="S12" s="5">
        <v>50</v>
      </c>
      <c r="T12" s="5">
        <v>50</v>
      </c>
      <c r="U12" s="5">
        <v>50</v>
      </c>
      <c r="V12" s="5">
        <v>50</v>
      </c>
    </row>
    <row r="13" spans="1:96" x14ac:dyDescent="0.3">
      <c r="A13" t="s">
        <v>20</v>
      </c>
      <c r="B13">
        <f t="shared" ref="B13:G13" si="16">B11+B12</f>
        <v>629</v>
      </c>
      <c r="C13">
        <f t="shared" si="16"/>
        <v>49</v>
      </c>
      <c r="D13">
        <f t="shared" si="16"/>
        <v>1578</v>
      </c>
      <c r="E13">
        <f t="shared" si="16"/>
        <v>1110</v>
      </c>
      <c r="F13">
        <f t="shared" si="16"/>
        <v>1074</v>
      </c>
      <c r="G13">
        <f t="shared" si="16"/>
        <v>1303</v>
      </c>
      <c r="H13">
        <f>H11+H12</f>
        <v>1241</v>
      </c>
      <c r="I13">
        <f>I11+I12</f>
        <v>1793</v>
      </c>
      <c r="J13" s="5">
        <f>J11+J12</f>
        <v>7497.5999999999995</v>
      </c>
      <c r="L13" s="5">
        <f t="shared" ref="L13:V13" si="17">L11+L12</f>
        <v>5065</v>
      </c>
      <c r="M13" s="5">
        <f t="shared" si="17"/>
        <v>4099</v>
      </c>
      <c r="N13" s="5">
        <f t="shared" si="17"/>
        <v>3366</v>
      </c>
      <c r="O13" s="5">
        <f t="shared" si="17"/>
        <v>5411</v>
      </c>
      <c r="P13" s="5">
        <f t="shared" si="17"/>
        <v>5933.1256800095407</v>
      </c>
      <c r="Q13" s="5">
        <f t="shared" si="17"/>
        <v>7160.5723400182169</v>
      </c>
      <c r="R13" s="5">
        <f t="shared" si="17"/>
        <v>8407.415536943503</v>
      </c>
      <c r="S13" s="5">
        <f t="shared" si="17"/>
        <v>9770.1390424293168</v>
      </c>
      <c r="T13" s="5">
        <f t="shared" si="17"/>
        <v>11258.111347693013</v>
      </c>
      <c r="U13" s="5">
        <f t="shared" si="17"/>
        <v>12881.417181545905</v>
      </c>
      <c r="V13" s="5">
        <f t="shared" si="17"/>
        <v>14650.910716008768</v>
      </c>
    </row>
    <row r="14" spans="1:96" x14ac:dyDescent="0.3">
      <c r="A14" t="s">
        <v>21</v>
      </c>
      <c r="B14">
        <v>120</v>
      </c>
      <c r="C14">
        <v>390</v>
      </c>
      <c r="D14">
        <v>248</v>
      </c>
      <c r="E14">
        <v>189</v>
      </c>
      <c r="F14">
        <v>279</v>
      </c>
      <c r="G14">
        <v>274</v>
      </c>
      <c r="H14">
        <v>221</v>
      </c>
      <c r="I14">
        <v>391</v>
      </c>
      <c r="J14" s="5"/>
      <c r="L14" s="5">
        <v>863</v>
      </c>
      <c r="M14" s="5">
        <v>-70</v>
      </c>
      <c r="N14" s="5">
        <v>947</v>
      </c>
      <c r="O14" s="5">
        <v>1165</v>
      </c>
      <c r="P14" s="5">
        <f>P13*0.25</f>
        <v>1483.2814200023852</v>
      </c>
      <c r="Q14" s="5">
        <f t="shared" ref="Q14:V14" si="18">Q13*0.25</f>
        <v>1790.1430850045542</v>
      </c>
      <c r="R14" s="5">
        <f t="shared" si="18"/>
        <v>2101.8538842358757</v>
      </c>
      <c r="S14" s="5">
        <f t="shared" si="18"/>
        <v>2442.5347606073292</v>
      </c>
      <c r="T14" s="5">
        <f t="shared" si="18"/>
        <v>2814.5278369232533</v>
      </c>
      <c r="U14" s="5">
        <f t="shared" si="18"/>
        <v>3220.3542953864762</v>
      </c>
      <c r="V14" s="5">
        <f t="shared" si="18"/>
        <v>3662.727679002192</v>
      </c>
    </row>
    <row r="15" spans="1:96" x14ac:dyDescent="0.3">
      <c r="A15" s="3" t="s">
        <v>22</v>
      </c>
      <c r="B15" s="3">
        <f t="shared" ref="B15:G15" si="19">B13-B14</f>
        <v>509</v>
      </c>
      <c r="C15" s="3">
        <f t="shared" si="19"/>
        <v>-341</v>
      </c>
      <c r="D15" s="3">
        <f t="shared" si="19"/>
        <v>1330</v>
      </c>
      <c r="E15" s="3">
        <f t="shared" si="19"/>
        <v>921</v>
      </c>
      <c r="F15" s="3">
        <f t="shared" si="19"/>
        <v>795</v>
      </c>
      <c r="G15" s="3">
        <f t="shared" si="19"/>
        <v>1029</v>
      </c>
      <c r="H15" s="3">
        <f>H13-H14</f>
        <v>1020</v>
      </c>
      <c r="I15" s="3">
        <f>I13-I14</f>
        <v>1402</v>
      </c>
      <c r="J15" s="6">
        <f>J13-J14</f>
        <v>7497.5999999999995</v>
      </c>
      <c r="K15" s="3"/>
      <c r="L15" s="6">
        <f t="shared" ref="L15:V15" si="20">L13-L14</f>
        <v>4202</v>
      </c>
      <c r="M15" s="6">
        <f t="shared" si="20"/>
        <v>4169</v>
      </c>
      <c r="N15" s="6">
        <f t="shared" si="20"/>
        <v>2419</v>
      </c>
      <c r="O15" s="6">
        <f t="shared" si="20"/>
        <v>4246</v>
      </c>
      <c r="P15" s="6">
        <f t="shared" si="20"/>
        <v>4449.8442600071558</v>
      </c>
      <c r="Q15" s="6">
        <f t="shared" si="20"/>
        <v>5370.4292550136624</v>
      </c>
      <c r="R15" s="6">
        <f t="shared" si="20"/>
        <v>6305.5616527076272</v>
      </c>
      <c r="S15" s="6">
        <f t="shared" si="20"/>
        <v>7327.6042818219876</v>
      </c>
      <c r="T15" s="6">
        <f t="shared" si="20"/>
        <v>8443.5835107697603</v>
      </c>
      <c r="U15" s="6">
        <f t="shared" si="20"/>
        <v>9661.0628861594287</v>
      </c>
      <c r="V15" s="6">
        <f t="shared" si="20"/>
        <v>10988.183037006576</v>
      </c>
      <c r="W15" s="6">
        <f>V15*(1+$Y$4)</f>
        <v>10658.537545896379</v>
      </c>
      <c r="X15" s="6">
        <f t="shared" ref="X15:CI15" si="21">W15*(1+$Y$4)</f>
        <v>10338.781419519488</v>
      </c>
      <c r="Y15" s="6">
        <f t="shared" si="21"/>
        <v>10028.617976933903</v>
      </c>
      <c r="Z15" s="6">
        <f t="shared" si="21"/>
        <v>9727.7594376258858</v>
      </c>
      <c r="AA15" s="6">
        <f t="shared" si="21"/>
        <v>9435.9266544971088</v>
      </c>
      <c r="AB15" s="6">
        <f t="shared" si="21"/>
        <v>9152.8488548621954</v>
      </c>
      <c r="AC15" s="6">
        <f t="shared" si="21"/>
        <v>8878.2633892163285</v>
      </c>
      <c r="AD15" s="6">
        <f t="shared" si="21"/>
        <v>8611.9154875398381</v>
      </c>
      <c r="AE15" s="6">
        <f t="shared" si="21"/>
        <v>8353.5580229136431</v>
      </c>
      <c r="AF15" s="6">
        <f t="shared" si="21"/>
        <v>8102.9512822262332</v>
      </c>
      <c r="AG15" s="6">
        <f t="shared" si="21"/>
        <v>7859.8627437594459</v>
      </c>
      <c r="AH15" s="6">
        <f t="shared" si="21"/>
        <v>7624.0668614466622</v>
      </c>
      <c r="AI15" s="6">
        <f t="shared" si="21"/>
        <v>7395.3448556032617</v>
      </c>
      <c r="AJ15" s="6">
        <f t="shared" si="21"/>
        <v>7173.4845099351633</v>
      </c>
      <c r="AK15" s="6">
        <f t="shared" si="21"/>
        <v>6958.2799746371084</v>
      </c>
      <c r="AL15" s="6">
        <f t="shared" si="21"/>
        <v>6749.5315753979949</v>
      </c>
      <c r="AM15" s="6">
        <f t="shared" si="21"/>
        <v>6547.0456281360548</v>
      </c>
      <c r="AN15" s="6">
        <f t="shared" si="21"/>
        <v>6350.6342592919727</v>
      </c>
      <c r="AO15" s="6">
        <f t="shared" si="21"/>
        <v>6160.1152315132131</v>
      </c>
      <c r="AP15" s="6">
        <f t="shared" si="21"/>
        <v>5975.3117745678164</v>
      </c>
      <c r="AQ15" s="6">
        <f t="shared" si="21"/>
        <v>5796.0524213307817</v>
      </c>
      <c r="AR15" s="6">
        <f t="shared" si="21"/>
        <v>5622.1708486908583</v>
      </c>
      <c r="AS15" s="6">
        <f t="shared" si="21"/>
        <v>5453.5057232301324</v>
      </c>
      <c r="AT15" s="6">
        <f t="shared" si="21"/>
        <v>5289.9005515332283</v>
      </c>
      <c r="AU15" s="6">
        <f t="shared" si="21"/>
        <v>5131.2035349872313</v>
      </c>
      <c r="AV15" s="6">
        <f t="shared" si="21"/>
        <v>4977.2674289376146</v>
      </c>
      <c r="AW15" s="6">
        <f t="shared" si="21"/>
        <v>4827.949406069486</v>
      </c>
      <c r="AX15" s="6">
        <f t="shared" si="21"/>
        <v>4683.1109238874014</v>
      </c>
      <c r="AY15" s="6">
        <f t="shared" si="21"/>
        <v>4542.6175961707795</v>
      </c>
      <c r="AZ15" s="6">
        <f t="shared" si="21"/>
        <v>4406.3390682856561</v>
      </c>
      <c r="BA15" s="6">
        <f t="shared" si="21"/>
        <v>4274.1488962370868</v>
      </c>
      <c r="BB15" s="6">
        <f t="shared" si="21"/>
        <v>4145.9244293499742</v>
      </c>
      <c r="BC15" s="6">
        <f t="shared" si="21"/>
        <v>4021.5466964694747</v>
      </c>
      <c r="BD15" s="6">
        <f t="shared" si="21"/>
        <v>3900.9002955753904</v>
      </c>
      <c r="BE15" s="6">
        <f t="shared" si="21"/>
        <v>3783.8732867081285</v>
      </c>
      <c r="BF15" s="6">
        <f t="shared" si="21"/>
        <v>3670.3570881068845</v>
      </c>
      <c r="BG15" s="6">
        <f t="shared" si="21"/>
        <v>3560.2463754636779</v>
      </c>
      <c r="BH15" s="6">
        <f t="shared" si="21"/>
        <v>3453.4389841997672</v>
      </c>
      <c r="BI15" s="6">
        <f t="shared" si="21"/>
        <v>3349.8358146737742</v>
      </c>
      <c r="BJ15" s="6">
        <f t="shared" si="21"/>
        <v>3249.3407402335611</v>
      </c>
      <c r="BK15" s="6">
        <f t="shared" si="21"/>
        <v>3151.860518026554</v>
      </c>
      <c r="BL15" s="6">
        <f t="shared" si="21"/>
        <v>3057.3047024857574</v>
      </c>
      <c r="BM15" s="6">
        <f t="shared" si="21"/>
        <v>2965.5855614111847</v>
      </c>
      <c r="BN15" s="6">
        <f t="shared" si="21"/>
        <v>2876.6179945688491</v>
      </c>
      <c r="BO15" s="6">
        <f t="shared" si="21"/>
        <v>2790.3194547317835</v>
      </c>
      <c r="BP15" s="6">
        <f t="shared" si="21"/>
        <v>2706.60987108983</v>
      </c>
      <c r="BQ15" s="6">
        <f t="shared" si="21"/>
        <v>2625.4115749571351</v>
      </c>
      <c r="BR15" s="6">
        <f t="shared" si="21"/>
        <v>2546.6492277084212</v>
      </c>
      <c r="BS15" s="6">
        <f t="shared" si="21"/>
        <v>2470.2497508771685</v>
      </c>
      <c r="BT15" s="6">
        <f t="shared" si="21"/>
        <v>2396.1422583508534</v>
      </c>
      <c r="BU15" s="6">
        <f t="shared" si="21"/>
        <v>2324.2579906003275</v>
      </c>
      <c r="BV15" s="6">
        <f t="shared" si="21"/>
        <v>2254.5302508823174</v>
      </c>
      <c r="BW15" s="6">
        <f t="shared" si="21"/>
        <v>2186.8943433558479</v>
      </c>
      <c r="BX15" s="6">
        <f t="shared" si="21"/>
        <v>2121.2875130551724</v>
      </c>
      <c r="BY15" s="6">
        <f t="shared" si="21"/>
        <v>2057.6488876635171</v>
      </c>
      <c r="BZ15" s="6">
        <f t="shared" si="21"/>
        <v>1995.9194210336116</v>
      </c>
      <c r="CA15" s="6">
        <f t="shared" si="21"/>
        <v>1936.0418384026032</v>
      </c>
      <c r="CB15" s="6">
        <f t="shared" si="21"/>
        <v>1877.9605832505249</v>
      </c>
      <c r="CC15" s="6">
        <f t="shared" si="21"/>
        <v>1821.6217657530092</v>
      </c>
      <c r="CD15" s="6">
        <f t="shared" si="21"/>
        <v>1766.9731127804189</v>
      </c>
      <c r="CE15" s="6">
        <f t="shared" si="21"/>
        <v>1713.9639193970063</v>
      </c>
      <c r="CF15" s="6">
        <f t="shared" si="21"/>
        <v>1662.5450018150962</v>
      </c>
      <c r="CG15" s="6">
        <f t="shared" si="21"/>
        <v>1612.6686517606431</v>
      </c>
      <c r="CH15" s="6">
        <f t="shared" si="21"/>
        <v>1564.2885922078237</v>
      </c>
      <c r="CI15" s="6">
        <f t="shared" si="21"/>
        <v>1517.3599344415891</v>
      </c>
      <c r="CJ15" s="6">
        <f t="shared" ref="CJ15:CR15" si="22">CI15*(1+$Y$4)</f>
        <v>1471.8391364083413</v>
      </c>
      <c r="CK15" s="6">
        <f t="shared" si="22"/>
        <v>1427.6839623160911</v>
      </c>
      <c r="CL15" s="6">
        <f t="shared" si="22"/>
        <v>1384.8534434466083</v>
      </c>
      <c r="CM15" s="6">
        <f t="shared" si="22"/>
        <v>1343.3078401432099</v>
      </c>
      <c r="CN15" s="6">
        <f t="shared" si="22"/>
        <v>1303.0086049389135</v>
      </c>
      <c r="CO15" s="6">
        <f t="shared" si="22"/>
        <v>1263.918346790746</v>
      </c>
      <c r="CP15" s="6">
        <f t="shared" si="22"/>
        <v>1226.0007963870237</v>
      </c>
      <c r="CQ15" s="6">
        <f t="shared" si="22"/>
        <v>1189.220772495413</v>
      </c>
      <c r="CR15" s="6">
        <f t="shared" si="22"/>
        <v>1153.5441493205506</v>
      </c>
    </row>
    <row r="16" spans="1:96" x14ac:dyDescent="0.3">
      <c r="A16" t="s">
        <v>25</v>
      </c>
      <c r="B16">
        <v>1172</v>
      </c>
      <c r="C16">
        <v>1158</v>
      </c>
      <c r="D16">
        <v>1157</v>
      </c>
      <c r="E16">
        <v>1144</v>
      </c>
      <c r="F16">
        <v>1134</v>
      </c>
      <c r="G16">
        <v>1111</v>
      </c>
      <c r="H16">
        <v>1098</v>
      </c>
      <c r="I16">
        <v>1084</v>
      </c>
      <c r="J16" s="5"/>
      <c r="L16" s="5">
        <v>1187</v>
      </c>
      <c r="M16" s="5">
        <v>1186</v>
      </c>
      <c r="N16" s="5">
        <v>1158</v>
      </c>
      <c r="O16" s="5">
        <v>1107</v>
      </c>
      <c r="P16" s="5">
        <f t="shared" ref="P16:V16" si="23">O16*0.99</f>
        <v>1095.93</v>
      </c>
      <c r="Q16" s="5">
        <f t="shared" si="23"/>
        <v>1084.9707000000001</v>
      </c>
      <c r="R16" s="5">
        <f t="shared" si="23"/>
        <v>1074.120993</v>
      </c>
      <c r="S16" s="5">
        <f t="shared" si="23"/>
        <v>1063.37978307</v>
      </c>
      <c r="T16" s="5">
        <f t="shared" si="23"/>
        <v>1052.7459852393001</v>
      </c>
      <c r="U16" s="5">
        <f t="shared" si="23"/>
        <v>1042.218525386907</v>
      </c>
      <c r="V16" s="5">
        <f t="shared" si="23"/>
        <v>1031.796340133038</v>
      </c>
    </row>
    <row r="17" spans="1:25" x14ac:dyDescent="0.3">
      <c r="A17" t="s">
        <v>26</v>
      </c>
      <c r="B17" s="2">
        <f t="shared" ref="B17:C17" si="24">B15/B16</f>
        <v>0.43430034129692835</v>
      </c>
      <c r="C17" s="2">
        <f t="shared" si="24"/>
        <v>-0.29447322970639034</v>
      </c>
      <c r="D17" s="2">
        <f>D15/D16</f>
        <v>1.1495246326707</v>
      </c>
      <c r="E17" s="2">
        <f t="shared" ref="E17:V17" si="25">E15/E16</f>
        <v>0.80506993006993011</v>
      </c>
      <c r="F17" s="2">
        <f t="shared" si="25"/>
        <v>0.70105820105820105</v>
      </c>
      <c r="G17" s="2">
        <f t="shared" si="25"/>
        <v>0.9261926192619262</v>
      </c>
      <c r="H17" s="2">
        <f t="shared" si="25"/>
        <v>0.92896174863387981</v>
      </c>
      <c r="I17" s="2">
        <f t="shared" ref="I17:J17" si="26">I15/I16</f>
        <v>1.2933579335793357</v>
      </c>
      <c r="J17" s="5" t="e">
        <f t="shared" si="26"/>
        <v>#DIV/0!</v>
      </c>
      <c r="L17" s="2">
        <f t="shared" si="25"/>
        <v>3.5400168491996631</v>
      </c>
      <c r="M17" s="2">
        <f t="shared" si="25"/>
        <v>3.5151770657672849</v>
      </c>
      <c r="N17" s="2">
        <f t="shared" si="25"/>
        <v>2.0889464594127807</v>
      </c>
      <c r="O17" s="2">
        <f t="shared" si="25"/>
        <v>3.8355916892502258</v>
      </c>
      <c r="P17" s="2">
        <f t="shared" si="25"/>
        <v>4.0603362076110292</v>
      </c>
      <c r="Q17" s="2">
        <f t="shared" si="25"/>
        <v>4.9498380509387596</v>
      </c>
      <c r="R17" s="2">
        <f t="shared" si="25"/>
        <v>5.8704388926393767</v>
      </c>
      <c r="S17" s="2">
        <f t="shared" si="25"/>
        <v>6.890862886886036</v>
      </c>
      <c r="T17" s="2">
        <f t="shared" si="25"/>
        <v>8.0205326158051751</v>
      </c>
      <c r="U17" s="2">
        <f t="shared" si="25"/>
        <v>9.2697094235327597</v>
      </c>
      <c r="V17" s="2">
        <f t="shared" si="25"/>
        <v>10.649565819927002</v>
      </c>
      <c r="Y17" s="2"/>
    </row>
    <row r="19" spans="1:25" x14ac:dyDescent="0.3">
      <c r="A19" t="s">
        <v>23</v>
      </c>
      <c r="B19" s="4"/>
      <c r="C19" s="4"/>
      <c r="D19" s="4"/>
      <c r="E19" s="4" t="e">
        <f t="shared" ref="E19:G19" si="27">E3/A3-1</f>
        <v>#VALUE!</v>
      </c>
      <c r="F19" s="4">
        <f t="shared" si="27"/>
        <v>8.5917013728212144E-2</v>
      </c>
      <c r="G19" s="4">
        <f t="shared" si="27"/>
        <v>7.0672935645019086E-2</v>
      </c>
      <c r="H19" s="4">
        <f>H3/D3-1</f>
        <v>8.3552439380660148E-2</v>
      </c>
      <c r="I19" s="4">
        <f>I3/E3-1</f>
        <v>8.7091968034674228E-2</v>
      </c>
      <c r="J19" s="4">
        <f>J3/F3-1</f>
        <v>6.4999999999999947E-2</v>
      </c>
      <c r="L19" s="4"/>
      <c r="M19" s="4">
        <f>M3/L3-1</f>
        <v>0.18257667567819524</v>
      </c>
      <c r="N19" s="4">
        <f t="shared" ref="N19:V19" si="28">N3/M3-1</f>
        <v>8.4624177210200546E-2</v>
      </c>
      <c r="O19" s="4">
        <f t="shared" si="28"/>
        <v>8.1873682680427384E-2</v>
      </c>
      <c r="P19" s="4">
        <f>P3/O3-1</f>
        <v>6.3334139935156353E-2</v>
      </c>
      <c r="Q19" s="4">
        <f t="shared" si="28"/>
        <v>7.0599999999999996E-2</v>
      </c>
      <c r="R19" s="4">
        <f t="shared" si="28"/>
        <v>7.0599999999999996E-2</v>
      </c>
      <c r="S19" s="4">
        <f t="shared" si="28"/>
        <v>7.0599999999999996E-2</v>
      </c>
      <c r="T19" s="4">
        <f t="shared" si="28"/>
        <v>7.0599999999999996E-2</v>
      </c>
      <c r="U19" s="4">
        <f t="shared" si="28"/>
        <v>7.0599999999999996E-2</v>
      </c>
      <c r="V19" s="4">
        <f t="shared" si="28"/>
        <v>7.0599999999999996E-2</v>
      </c>
    </row>
    <row r="20" spans="1:25" x14ac:dyDescent="0.3">
      <c r="A20" t="s">
        <v>24</v>
      </c>
      <c r="B20" s="4">
        <f t="shared" ref="B20:G20" si="29">B11/B3</f>
        <v>0.10967144840351689</v>
      </c>
      <c r="C20" s="4">
        <f t="shared" si="29"/>
        <v>0.11225389362327358</v>
      </c>
      <c r="D20" s="4">
        <f t="shared" si="29"/>
        <v>0.16330704060765411</v>
      </c>
      <c r="E20" s="4">
        <f t="shared" si="29"/>
        <v>0.1684951916565082</v>
      </c>
      <c r="F20" s="4">
        <f t="shared" si="29"/>
        <v>0.14190340909090909</v>
      </c>
      <c r="G20" s="4">
        <f t="shared" si="29"/>
        <v>0.15548236585700562</v>
      </c>
      <c r="H20" s="4">
        <f>H11/H3</f>
        <v>0.15745483957940146</v>
      </c>
      <c r="I20" s="4">
        <f>I11/I3</f>
        <v>0.21530027410914529</v>
      </c>
      <c r="J20" s="4">
        <f>J11/J3</f>
        <v>1</v>
      </c>
      <c r="L20" s="4">
        <f t="shared" ref="L20:V20" si="30">L11/L3</f>
        <v>0.15330474503589075</v>
      </c>
      <c r="M20" s="4">
        <f t="shared" si="30"/>
        <v>0.16798707185369122</v>
      </c>
      <c r="N20" s="4">
        <f t="shared" si="30"/>
        <v>0.13943600552365723</v>
      </c>
      <c r="O20" s="4">
        <f t="shared" si="30"/>
        <v>0.16888918746431092</v>
      </c>
      <c r="P20" s="4">
        <f t="shared" si="30"/>
        <v>0.18584246005672433</v>
      </c>
      <c r="Q20" s="4">
        <f t="shared" si="30"/>
        <v>0.20980418145976101</v>
      </c>
      <c r="R20" s="4">
        <f t="shared" si="30"/>
        <v>0.23033203124329413</v>
      </c>
      <c r="S20" s="4">
        <f t="shared" si="30"/>
        <v>0.25022320341033288</v>
      </c>
      <c r="T20" s="4">
        <f t="shared" si="30"/>
        <v>0.2695009498159151</v>
      </c>
      <c r="U20" s="4">
        <f t="shared" si="30"/>
        <v>0.28818757292972674</v>
      </c>
      <c r="V20" s="4">
        <f t="shared" si="30"/>
        <v>0.30630446706379649</v>
      </c>
    </row>
    <row r="22" spans="1:25" x14ac:dyDescent="0.3">
      <c r="A22" t="s">
        <v>27</v>
      </c>
      <c r="B22">
        <v>1217</v>
      </c>
      <c r="C22">
        <v>2467</v>
      </c>
      <c r="D22">
        <v>4222</v>
      </c>
      <c r="E22">
        <v>1591</v>
      </c>
      <c r="F22">
        <v>1170</v>
      </c>
      <c r="G22">
        <v>970</v>
      </c>
      <c r="H22">
        <v>2229</v>
      </c>
      <c r="I22">
        <v>2614</v>
      </c>
      <c r="L22">
        <v>6219</v>
      </c>
      <c r="M22">
        <v>5797</v>
      </c>
      <c r="N22">
        <v>5813</v>
      </c>
      <c r="O22">
        <v>4843</v>
      </c>
    </row>
    <row r="23" spans="1:25" x14ac:dyDescent="0.3">
      <c r="A23" t="s">
        <v>28</v>
      </c>
      <c r="B23">
        <v>191</v>
      </c>
      <c r="C23">
        <v>366</v>
      </c>
      <c r="D23">
        <v>548</v>
      </c>
      <c r="E23">
        <v>158</v>
      </c>
      <c r="F23">
        <v>170</v>
      </c>
      <c r="G23">
        <v>320</v>
      </c>
      <c r="H23">
        <v>478</v>
      </c>
      <c r="I23">
        <v>145</v>
      </c>
      <c r="L23">
        <v>866</v>
      </c>
      <c r="M23">
        <v>908</v>
      </c>
      <c r="N23">
        <v>706</v>
      </c>
      <c r="O23">
        <v>623</v>
      </c>
    </row>
    <row r="24" spans="1:25" x14ac:dyDescent="0.3">
      <c r="A24" t="s">
        <v>29</v>
      </c>
      <c r="B24">
        <f t="shared" ref="B24:G24" si="31">B22-B23</f>
        <v>1026</v>
      </c>
      <c r="C24">
        <f t="shared" si="31"/>
        <v>2101</v>
      </c>
      <c r="D24">
        <f t="shared" si="31"/>
        <v>3674</v>
      </c>
      <c r="E24">
        <f t="shared" si="31"/>
        <v>1433</v>
      </c>
      <c r="F24">
        <f t="shared" si="31"/>
        <v>1000</v>
      </c>
      <c r="G24">
        <f t="shared" si="31"/>
        <v>650</v>
      </c>
      <c r="H24">
        <f>H22-H23</f>
        <v>1751</v>
      </c>
      <c r="I24">
        <f>I22-I23</f>
        <v>2469</v>
      </c>
      <c r="J24">
        <f>I24*4-1000</f>
        <v>8876</v>
      </c>
      <c r="L24">
        <f t="shared" ref="L24:O24" si="32">L22-L23</f>
        <v>5353</v>
      </c>
      <c r="M24">
        <f t="shared" si="32"/>
        <v>4889</v>
      </c>
      <c r="N24">
        <f t="shared" si="32"/>
        <v>5107</v>
      </c>
      <c r="O24">
        <f t="shared" si="32"/>
        <v>4220</v>
      </c>
    </row>
    <row r="25" spans="1:25" x14ac:dyDescent="0.3">
      <c r="A25" t="s">
        <v>69</v>
      </c>
      <c r="L25">
        <v>1376</v>
      </c>
      <c r="M25">
        <v>1376</v>
      </c>
      <c r="N25">
        <v>1261</v>
      </c>
      <c r="O25">
        <v>1475</v>
      </c>
    </row>
    <row r="26" spans="1:25" x14ac:dyDescent="0.3">
      <c r="A26" t="s">
        <v>71</v>
      </c>
      <c r="L26" s="7">
        <f>L25/L3</f>
        <v>6.4137223827724438E-2</v>
      </c>
      <c r="M26" s="7">
        <f t="shared" ref="M26:O26" si="33">M25/M3</f>
        <v>5.4235150368531E-2</v>
      </c>
      <c r="N26" s="7">
        <f t="shared" si="33"/>
        <v>4.5824551202849041E-2</v>
      </c>
      <c r="O26" s="7">
        <f t="shared" si="33"/>
        <v>4.9544859091061773E-2</v>
      </c>
    </row>
    <row r="27" spans="1:25" x14ac:dyDescent="0.3">
      <c r="A27" t="s">
        <v>70</v>
      </c>
      <c r="L27">
        <f>L24-L25</f>
        <v>3977</v>
      </c>
      <c r="M27">
        <f t="shared" ref="M27:O27" si="34">M24-M25</f>
        <v>3513</v>
      </c>
      <c r="N27">
        <f t="shared" si="34"/>
        <v>3846</v>
      </c>
      <c r="O27">
        <f t="shared" si="34"/>
        <v>2745</v>
      </c>
    </row>
    <row r="29" spans="1:25" x14ac:dyDescent="0.3">
      <c r="A29" t="s">
        <v>62</v>
      </c>
      <c r="B29" s="5">
        <v>429</v>
      </c>
      <c r="C29" s="5">
        <v>429</v>
      </c>
      <c r="D29" s="5">
        <v>432</v>
      </c>
      <c r="E29" s="5">
        <v>435</v>
      </c>
      <c r="F29" s="5">
        <v>433</v>
      </c>
      <c r="G29" s="5">
        <v>431</v>
      </c>
      <c r="H29" s="5">
        <v>428</v>
      </c>
      <c r="I29" s="5">
        <v>426</v>
      </c>
      <c r="J29" s="5"/>
      <c r="K29" s="5"/>
      <c r="L29" s="5"/>
      <c r="M29" s="5"/>
      <c r="N29" s="5">
        <v>432</v>
      </c>
      <c r="O29" s="5">
        <v>426</v>
      </c>
      <c r="P29" s="5">
        <f>O29*1</f>
        <v>426</v>
      </c>
      <c r="Q29" s="5">
        <f t="shared" ref="Q29:V29" si="35">P29*1.01</f>
        <v>430.26</v>
      </c>
      <c r="R29" s="5">
        <f t="shared" si="35"/>
        <v>434.56259999999997</v>
      </c>
      <c r="S29" s="5">
        <f t="shared" si="35"/>
        <v>438.90822599999996</v>
      </c>
      <c r="T29" s="5">
        <f t="shared" si="35"/>
        <v>443.29730825999997</v>
      </c>
      <c r="U29" s="5">
        <f t="shared" si="35"/>
        <v>447.73028134259999</v>
      </c>
      <c r="V29" s="5">
        <f t="shared" si="35"/>
        <v>452.20758415602597</v>
      </c>
    </row>
    <row r="30" spans="1:25" x14ac:dyDescent="0.3">
      <c r="A30" t="s">
        <v>66</v>
      </c>
      <c r="B30" s="2">
        <f t="shared" ref="B30:D30" si="36">B3/B29</f>
        <v>15.111888111888112</v>
      </c>
      <c r="C30" s="2">
        <f t="shared" si="36"/>
        <v>15.864801864801866</v>
      </c>
      <c r="D30" s="2">
        <f t="shared" si="36"/>
        <v>15.847222222222221</v>
      </c>
      <c r="E30" s="2">
        <f t="shared" ref="E30:G30" si="37">E3/E29</f>
        <v>16.972413793103449</v>
      </c>
      <c r="F30" s="2">
        <f t="shared" si="37"/>
        <v>16.258660508083143</v>
      </c>
      <c r="G30" s="2">
        <f t="shared" si="37"/>
        <v>16.907192575406032</v>
      </c>
      <c r="H30" s="2">
        <f t="shared" ref="H30:I30" si="38">H3/H29</f>
        <v>17.331775700934578</v>
      </c>
      <c r="I30" s="2">
        <f t="shared" si="38"/>
        <v>18.84037558685446</v>
      </c>
      <c r="J30" s="2"/>
      <c r="K30" s="2"/>
      <c r="L30" s="2"/>
      <c r="M30" s="2"/>
      <c r="N30" s="2"/>
      <c r="O30" s="2">
        <f>AVERAGE(G30:I30)*4</f>
        <v>70.772458484260099</v>
      </c>
      <c r="P30" s="2">
        <f>O30*1.05</f>
        <v>74.3110814084731</v>
      </c>
      <c r="Q30" s="2">
        <f>P30*1.06</f>
        <v>78.769746292981495</v>
      </c>
      <c r="R30" s="2">
        <f t="shared" ref="R30:V30" si="39">Q30*1.06</f>
        <v>83.495931070560388</v>
      </c>
      <c r="S30" s="2">
        <f t="shared" si="39"/>
        <v>88.505686934794014</v>
      </c>
      <c r="T30" s="2">
        <f t="shared" si="39"/>
        <v>93.816028150881664</v>
      </c>
      <c r="U30" s="2">
        <f t="shared" si="39"/>
        <v>99.444989839934564</v>
      </c>
      <c r="V30" s="2">
        <f t="shared" si="39"/>
        <v>105.41168923033064</v>
      </c>
    </row>
    <row r="31" spans="1:25" x14ac:dyDescent="0.3">
      <c r="A31" t="s">
        <v>63</v>
      </c>
      <c r="B31" s="5"/>
      <c r="C31" s="5"/>
      <c r="D31" s="5">
        <v>5643</v>
      </c>
      <c r="E31" s="5">
        <v>6032</v>
      </c>
      <c r="F31" s="5">
        <v>5835</v>
      </c>
      <c r="G31" s="5">
        <v>6074</v>
      </c>
      <c r="H31" s="5">
        <v>6275</v>
      </c>
      <c r="I31" s="5">
        <v>6798</v>
      </c>
      <c r="J31" s="5"/>
      <c r="K31" s="5"/>
      <c r="L31" s="8"/>
      <c r="M31" s="5"/>
      <c r="N31" s="5"/>
      <c r="O31" s="5"/>
      <c r="P31" s="5"/>
      <c r="Q31" s="5"/>
      <c r="R31" s="5"/>
      <c r="S31" s="5"/>
      <c r="T31" s="5"/>
      <c r="U31" s="5"/>
      <c r="V31" s="5"/>
    </row>
    <row r="32" spans="1:25" x14ac:dyDescent="0.3">
      <c r="A32" t="s">
        <v>65</v>
      </c>
      <c r="B32" s="5"/>
      <c r="C32" s="5"/>
      <c r="D32" s="5">
        <f>D31/D29</f>
        <v>13.0625</v>
      </c>
      <c r="E32" s="5">
        <f t="shared" ref="E32:I32" si="40">E31/E29</f>
        <v>13.866666666666667</v>
      </c>
      <c r="F32" s="5">
        <f t="shared" si="40"/>
        <v>13.475750577367206</v>
      </c>
      <c r="G32" s="5">
        <f t="shared" si="40"/>
        <v>14.092807424593968</v>
      </c>
      <c r="H32" s="5">
        <f t="shared" si="40"/>
        <v>14.661214953271028</v>
      </c>
      <c r="I32" s="5">
        <f t="shared" si="40"/>
        <v>15.95774647887324</v>
      </c>
      <c r="J32" s="5"/>
      <c r="K32" s="5"/>
      <c r="L32" s="5"/>
      <c r="M32" s="5"/>
      <c r="N32" s="5"/>
      <c r="O32" s="5"/>
      <c r="P32" s="5"/>
      <c r="Q32" s="5"/>
      <c r="R32" s="5"/>
      <c r="S32" s="5"/>
      <c r="T32" s="5"/>
      <c r="U32" s="5"/>
      <c r="V32" s="5"/>
    </row>
    <row r="33" spans="1:22" x14ac:dyDescent="0.3">
      <c r="A33" t="s">
        <v>64</v>
      </c>
      <c r="B33" s="5"/>
      <c r="C33" s="5"/>
      <c r="D33" s="5">
        <v>336973</v>
      </c>
      <c r="E33" s="5">
        <v>357378</v>
      </c>
      <c r="F33" s="5">
        <v>354508</v>
      </c>
      <c r="G33" s="5">
        <v>376538</v>
      </c>
      <c r="H33" s="5">
        <v>387701</v>
      </c>
      <c r="I33" s="5">
        <v>409832</v>
      </c>
      <c r="J33" s="5"/>
      <c r="K33" s="5"/>
      <c r="L33" s="5"/>
      <c r="M33" s="5"/>
      <c r="N33" s="5"/>
      <c r="O33" s="5"/>
      <c r="P33" s="5"/>
      <c r="Q33" s="5"/>
      <c r="R33" s="5"/>
      <c r="S33" s="5"/>
      <c r="T33" s="5"/>
      <c r="U33" s="5"/>
      <c r="V33" s="5"/>
    </row>
    <row r="34" spans="1:22" x14ac:dyDescent="0.3">
      <c r="B34" s="5"/>
      <c r="C34" s="5"/>
      <c r="D34" s="5"/>
      <c r="E34" s="5"/>
      <c r="F34" s="5"/>
      <c r="G34" s="5"/>
      <c r="H34" s="5"/>
      <c r="I34" s="5"/>
      <c r="J34" s="5"/>
      <c r="K34" s="5"/>
      <c r="L34" s="5"/>
      <c r="M34" s="5"/>
      <c r="N34" s="5"/>
      <c r="O34" s="5"/>
      <c r="P34" s="5"/>
      <c r="Q34" s="5"/>
      <c r="R34" s="5"/>
      <c r="S34" s="5"/>
      <c r="T34" s="5"/>
      <c r="U34" s="5"/>
      <c r="V34" s="5"/>
    </row>
    <row r="35" spans="1:22" x14ac:dyDescent="0.3">
      <c r="A35" t="s">
        <v>35</v>
      </c>
      <c r="B35" s="5"/>
      <c r="C35" s="5"/>
      <c r="D35" s="5">
        <f>D38-D52</f>
        <v>5469</v>
      </c>
      <c r="E35" s="5"/>
      <c r="F35" s="5"/>
      <c r="G35" s="5"/>
      <c r="H35" s="5">
        <f>H38-H52</f>
        <v>4762</v>
      </c>
      <c r="I35" s="5">
        <f t="shared" ref="I35" si="41">I38-I52</f>
        <v>7657</v>
      </c>
      <c r="J35" s="5"/>
      <c r="K35" s="5"/>
      <c r="L35" s="5"/>
      <c r="M35" s="5">
        <f>5197+4303+6797-8049</f>
        <v>8248</v>
      </c>
      <c r="N35" s="5">
        <f>7776+3092+5018-10417</f>
        <v>5469</v>
      </c>
      <c r="O35" s="5">
        <f>N35+O15*0.15</f>
        <v>6105.9</v>
      </c>
      <c r="P35" s="5">
        <f t="shared" ref="P35:V35" si="42">O35+P15*0.15</f>
        <v>6773.3766390010733</v>
      </c>
      <c r="Q35" s="5">
        <f t="shared" si="42"/>
        <v>7578.9410272531222</v>
      </c>
      <c r="R35" s="5">
        <f t="shared" si="42"/>
        <v>8524.775275159267</v>
      </c>
      <c r="S35" s="5">
        <f t="shared" si="42"/>
        <v>9623.915917432565</v>
      </c>
      <c r="T35" s="5">
        <f t="shared" si="42"/>
        <v>10890.453444048029</v>
      </c>
      <c r="U35" s="5">
        <f t="shared" si="42"/>
        <v>12339.612876971943</v>
      </c>
      <c r="V35" s="5">
        <f t="shared" si="42"/>
        <v>13987.84033252293</v>
      </c>
    </row>
    <row r="37" spans="1:22" x14ac:dyDescent="0.3">
      <c r="A37" t="s">
        <v>40</v>
      </c>
    </row>
    <row r="38" spans="1:22" x14ac:dyDescent="0.3">
      <c r="A38" t="s">
        <v>3</v>
      </c>
      <c r="D38">
        <f>7776+3092+5018</f>
        <v>15886</v>
      </c>
      <c r="H38">
        <f>6816+4731+3855</f>
        <v>15402</v>
      </c>
      <c r="I38">
        <f>9081+4979+3273</f>
        <v>17333</v>
      </c>
    </row>
    <row r="39" spans="1:22" x14ac:dyDescent="0.3">
      <c r="A39" t="s">
        <v>41</v>
      </c>
      <c r="D39">
        <v>963</v>
      </c>
      <c r="H39">
        <v>988</v>
      </c>
      <c r="I39">
        <v>1069</v>
      </c>
    </row>
    <row r="40" spans="1:22" x14ac:dyDescent="0.3">
      <c r="A40" t="s">
        <v>44</v>
      </c>
      <c r="D40">
        <v>7431</v>
      </c>
      <c r="H40">
        <f>2165+5066</f>
        <v>7231</v>
      </c>
      <c r="I40">
        <f>563+5433</f>
        <v>5996</v>
      </c>
    </row>
    <row r="41" spans="1:22" x14ac:dyDescent="0.3">
      <c r="A41" t="s">
        <v>42</v>
      </c>
      <c r="D41">
        <v>36264</v>
      </c>
      <c r="H41">
        <v>34641</v>
      </c>
      <c r="I41">
        <v>38935</v>
      </c>
    </row>
    <row r="42" spans="1:22" x14ac:dyDescent="0.3">
      <c r="A42" t="s">
        <v>43</v>
      </c>
      <c r="D42">
        <v>1898</v>
      </c>
      <c r="H42">
        <v>2228</v>
      </c>
      <c r="I42">
        <v>2509</v>
      </c>
    </row>
    <row r="43" spans="1:22" x14ac:dyDescent="0.3">
      <c r="A43" t="s">
        <v>45</v>
      </c>
      <c r="D43">
        <v>1730</v>
      </c>
      <c r="H43">
        <v>1529</v>
      </c>
      <c r="I43">
        <v>1488</v>
      </c>
    </row>
    <row r="44" spans="1:22" x14ac:dyDescent="0.3">
      <c r="A44" t="s">
        <v>46</v>
      </c>
      <c r="D44">
        <f>11209+788</f>
        <v>11997</v>
      </c>
      <c r="H44">
        <f>10935+564</f>
        <v>11499</v>
      </c>
      <c r="I44">
        <f>11026+537</f>
        <v>11563</v>
      </c>
    </row>
    <row r="45" spans="1:22" x14ac:dyDescent="0.3">
      <c r="A45" t="s">
        <v>47</v>
      </c>
      <c r="D45">
        <v>2455</v>
      </c>
      <c r="H45">
        <v>2922</v>
      </c>
      <c r="I45">
        <v>3273</v>
      </c>
    </row>
    <row r="46" spans="1:22" x14ac:dyDescent="0.3">
      <c r="A46" t="s">
        <v>48</v>
      </c>
      <c r="D46">
        <f>SUM(D38:D45)</f>
        <v>78624</v>
      </c>
      <c r="H46">
        <f>SUM(H38:H45)</f>
        <v>76440</v>
      </c>
      <c r="I46">
        <f t="shared" ref="I46" si="43">SUM(I38:I45)</f>
        <v>82166</v>
      </c>
    </row>
    <row r="48" spans="1:22" x14ac:dyDescent="0.3">
      <c r="A48" t="s">
        <v>49</v>
      </c>
      <c r="D48">
        <v>126</v>
      </c>
      <c r="H48">
        <v>131</v>
      </c>
      <c r="I48">
        <v>139</v>
      </c>
    </row>
    <row r="49" spans="1:9" x14ac:dyDescent="0.3">
      <c r="A49" t="s">
        <v>50</v>
      </c>
      <c r="D49">
        <v>40014</v>
      </c>
      <c r="H49">
        <v>38641</v>
      </c>
      <c r="I49">
        <v>41935</v>
      </c>
    </row>
    <row r="50" spans="1:9" x14ac:dyDescent="0.3">
      <c r="A50" t="s">
        <v>51</v>
      </c>
      <c r="D50">
        <v>4055</v>
      </c>
      <c r="H50">
        <v>3533</v>
      </c>
      <c r="I50">
        <v>6392</v>
      </c>
    </row>
    <row r="51" spans="1:9" x14ac:dyDescent="0.3">
      <c r="A51" t="s">
        <v>52</v>
      </c>
      <c r="D51">
        <f>813+2925</f>
        <v>3738</v>
      </c>
      <c r="H51">
        <f>1137+2618</f>
        <v>3755</v>
      </c>
      <c r="I51">
        <v>2973</v>
      </c>
    </row>
    <row r="52" spans="1:9" x14ac:dyDescent="0.3">
      <c r="A52" t="s">
        <v>53</v>
      </c>
      <c r="D52">
        <v>10417</v>
      </c>
      <c r="H52">
        <v>10640</v>
      </c>
      <c r="I52">
        <v>9676</v>
      </c>
    </row>
    <row r="53" spans="1:9" x14ac:dyDescent="0.3">
      <c r="A53" t="s">
        <v>54</v>
      </c>
      <c r="D53">
        <f>SUM(D48:D52)</f>
        <v>58350</v>
      </c>
      <c r="H53">
        <f>SUM(H48:H52)</f>
        <v>56700</v>
      </c>
      <c r="I53">
        <f t="shared" ref="I53" si="44">SUM(I48:I52)</f>
        <v>61115</v>
      </c>
    </row>
    <row r="55" spans="1:9" x14ac:dyDescent="0.3">
      <c r="A55" s="3" t="s">
        <v>55</v>
      </c>
      <c r="B55" s="3"/>
      <c r="C55" s="3"/>
      <c r="D55" s="3">
        <f>D46-D53</f>
        <v>20274</v>
      </c>
      <c r="E55" s="3"/>
      <c r="F55" s="3"/>
      <c r="G55" s="3"/>
      <c r="H55" s="3">
        <f>H46-H53</f>
        <v>19740</v>
      </c>
      <c r="I55" s="3">
        <f t="shared" ref="I55" si="45">I46-I53</f>
        <v>21051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2024-01-25T18:34:55Z</dcterms:created>
  <dcterms:modified xsi:type="dcterms:W3CDTF">2024-02-10T13:29:06Z</dcterms:modified>
</cp:coreProperties>
</file>