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291" documentId="8_{9B945DB3-BE5B-4250-92D0-017B84031D07}" xr6:coauthVersionLast="47" xr6:coauthVersionMax="47" xr10:uidLastSave="{24F05209-FB45-4B2A-B87C-9AC18C2A4584}"/>
  <bookViews>
    <workbookView xWindow="-120" yWindow="-120" windowWidth="29040" windowHeight="15720" activeTab="1" xr2:uid="{5477EB53-6E47-4091-82B4-D061337E5CB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" i="2" l="1"/>
  <c r="AD3" i="2"/>
  <c r="AE3" i="2" s="1"/>
  <c r="AF3" i="2" s="1"/>
  <c r="AG3" i="2" s="1"/>
  <c r="AH3" i="2" s="1"/>
  <c r="AC3" i="2"/>
  <c r="AE2" i="2"/>
  <c r="AF2" i="2" s="1"/>
  <c r="AG2" i="2" s="1"/>
  <c r="AH2" i="2" s="1"/>
  <c r="AD2" i="2"/>
  <c r="AK5" i="2"/>
  <c r="AC18" i="2"/>
  <c r="AD18" i="2" s="1"/>
  <c r="AE18" i="2" s="1"/>
  <c r="AF18" i="2" s="1"/>
  <c r="AG18" i="2" s="1"/>
  <c r="AH18" i="2" s="1"/>
  <c r="AB18" i="2"/>
  <c r="AB10" i="2"/>
  <c r="AB9" i="2"/>
  <c r="AB8" i="2"/>
  <c r="AC6" i="2"/>
  <c r="AD6" i="2" s="1"/>
  <c r="AE6" i="2" s="1"/>
  <c r="AF6" i="2" s="1"/>
  <c r="AG6" i="2" s="1"/>
  <c r="AH6" i="2" s="1"/>
  <c r="AB6" i="2"/>
  <c r="AC2" i="2"/>
  <c r="AC21" i="2" s="1"/>
  <c r="AB23" i="2"/>
  <c r="AB22" i="2"/>
  <c r="AB21" i="2"/>
  <c r="AB3" i="2"/>
  <c r="AB2" i="2"/>
  <c r="Q3" i="2"/>
  <c r="Q22" i="2" s="1"/>
  <c r="Q2" i="2"/>
  <c r="Z38" i="2"/>
  <c r="R33" i="2"/>
  <c r="Q33" i="2"/>
  <c r="P33" i="2"/>
  <c r="O33" i="2"/>
  <c r="S33" i="2"/>
  <c r="AA35" i="2"/>
  <c r="Z35" i="2"/>
  <c r="Y22" i="2"/>
  <c r="Y21" i="2"/>
  <c r="Z22" i="2"/>
  <c r="Z21" i="2"/>
  <c r="AA22" i="2"/>
  <c r="AA21" i="2"/>
  <c r="AA31" i="2"/>
  <c r="AA38" i="2" s="1"/>
  <c r="Z31" i="2"/>
  <c r="Y31" i="2"/>
  <c r="Y38" i="2" s="1"/>
  <c r="Y1" i="2"/>
  <c r="Z1" i="2" s="1"/>
  <c r="AA1" i="2" s="1"/>
  <c r="AB1" i="2" s="1"/>
  <c r="AC1" i="2" s="1"/>
  <c r="AD1" i="2" s="1"/>
  <c r="AE1" i="2" s="1"/>
  <c r="AF1" i="2" s="1"/>
  <c r="AG1" i="2" s="1"/>
  <c r="AH1" i="2" s="1"/>
  <c r="AA11" i="2"/>
  <c r="AA5" i="2"/>
  <c r="AA23" i="2" s="1"/>
  <c r="Z11" i="2"/>
  <c r="Z5" i="2"/>
  <c r="Z23" i="2" s="1"/>
  <c r="Y11" i="2"/>
  <c r="Y5" i="2"/>
  <c r="X22" i="2"/>
  <c r="X21" i="2"/>
  <c r="X11" i="2"/>
  <c r="X5" i="2"/>
  <c r="X7" i="2" s="1"/>
  <c r="M37" i="2"/>
  <c r="L30" i="2"/>
  <c r="M30" i="2" s="1"/>
  <c r="L29" i="2"/>
  <c r="M29" i="2" s="1"/>
  <c r="O37" i="2"/>
  <c r="P37" i="2" s="1"/>
  <c r="Q37" i="2" s="1"/>
  <c r="S37" i="2"/>
  <c r="O35" i="2"/>
  <c r="S35" i="2"/>
  <c r="O30" i="2"/>
  <c r="P30" i="2" s="1"/>
  <c r="O29" i="2"/>
  <c r="P29" i="2" s="1"/>
  <c r="S30" i="2"/>
  <c r="S29" i="2"/>
  <c r="R31" i="2"/>
  <c r="N31" i="2"/>
  <c r="K31" i="2"/>
  <c r="J31" i="2"/>
  <c r="I31" i="2"/>
  <c r="H31" i="2"/>
  <c r="G31" i="2"/>
  <c r="F31" i="2"/>
  <c r="E31" i="2"/>
  <c r="D31" i="2"/>
  <c r="C31" i="2"/>
  <c r="B31" i="2"/>
  <c r="R22" i="2"/>
  <c r="P22" i="2"/>
  <c r="O22" i="2"/>
  <c r="N22" i="2"/>
  <c r="M22" i="2"/>
  <c r="L22" i="2"/>
  <c r="K22" i="2"/>
  <c r="J22" i="2"/>
  <c r="I22" i="2"/>
  <c r="H22" i="2"/>
  <c r="G22" i="2"/>
  <c r="F22" i="2"/>
  <c r="R21" i="2"/>
  <c r="P21" i="2"/>
  <c r="O21" i="2"/>
  <c r="N21" i="2"/>
  <c r="M21" i="2"/>
  <c r="L21" i="2"/>
  <c r="K21" i="2"/>
  <c r="J21" i="2"/>
  <c r="I21" i="2"/>
  <c r="H21" i="2"/>
  <c r="G21" i="2"/>
  <c r="F21" i="2"/>
  <c r="S22" i="2"/>
  <c r="S21" i="2"/>
  <c r="R5" i="2"/>
  <c r="R7" i="2" s="1"/>
  <c r="P5" i="2"/>
  <c r="P7" i="2" s="1"/>
  <c r="O5" i="2"/>
  <c r="O7" i="2" s="1"/>
  <c r="O25" i="2" s="1"/>
  <c r="N5" i="2"/>
  <c r="N7" i="2" s="1"/>
  <c r="N25" i="2" s="1"/>
  <c r="M5" i="2"/>
  <c r="L5" i="2"/>
  <c r="L7" i="2" s="1"/>
  <c r="L25" i="2" s="1"/>
  <c r="K5" i="2"/>
  <c r="J5" i="2"/>
  <c r="I5" i="2"/>
  <c r="H5" i="2"/>
  <c r="G5" i="2"/>
  <c r="G7" i="2" s="1"/>
  <c r="F5" i="2"/>
  <c r="F7" i="2" s="1"/>
  <c r="E5" i="2"/>
  <c r="D5" i="2"/>
  <c r="D7" i="2" s="1"/>
  <c r="C5" i="2"/>
  <c r="B5" i="2"/>
  <c r="B7" i="2" s="1"/>
  <c r="S5" i="2"/>
  <c r="S23" i="2" s="1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S11" i="2"/>
  <c r="M7" i="2"/>
  <c r="M25" i="2" s="1"/>
  <c r="K7" i="2"/>
  <c r="K25" i="2" s="1"/>
  <c r="J7" i="2"/>
  <c r="J25" i="2" s="1"/>
  <c r="I7" i="2"/>
  <c r="H7" i="2"/>
  <c r="E7" i="2"/>
  <c r="E12" i="2" s="1"/>
  <c r="E15" i="2" s="1"/>
  <c r="C7" i="2"/>
  <c r="B5" i="1"/>
  <c r="B4" i="1"/>
  <c r="B7" i="1" s="1"/>
  <c r="U33" i="2" s="1"/>
  <c r="AE5" i="2" l="1"/>
  <c r="AD5" i="2"/>
  <c r="AD10" i="2" s="1"/>
  <c r="AB11" i="2"/>
  <c r="AD22" i="2"/>
  <c r="AE22" i="2"/>
  <c r="AD21" i="2"/>
  <c r="AE21" i="2"/>
  <c r="AC22" i="2"/>
  <c r="AC5" i="2"/>
  <c r="AB5" i="2"/>
  <c r="Q5" i="2"/>
  <c r="Q23" i="2" s="1"/>
  <c r="Q21" i="2"/>
  <c r="C12" i="2"/>
  <c r="C15" i="2" s="1"/>
  <c r="Y23" i="2"/>
  <c r="S7" i="2"/>
  <c r="S12" i="2" s="1"/>
  <c r="S26" i="2" s="1"/>
  <c r="J12" i="2"/>
  <c r="J15" i="2" s="1"/>
  <c r="R23" i="2"/>
  <c r="B12" i="2"/>
  <c r="B26" i="2" s="1"/>
  <c r="B25" i="2"/>
  <c r="X23" i="2"/>
  <c r="N23" i="2"/>
  <c r="O23" i="2"/>
  <c r="D12" i="2"/>
  <c r="D15" i="2" s="1"/>
  <c r="D17" i="2" s="1"/>
  <c r="P23" i="2"/>
  <c r="AA7" i="2"/>
  <c r="Z7" i="2"/>
  <c r="Y7" i="2"/>
  <c r="X12" i="2"/>
  <c r="X25" i="2"/>
  <c r="B15" i="2"/>
  <c r="B17" i="2" s="1"/>
  <c r="F12" i="2"/>
  <c r="F25" i="2"/>
  <c r="G25" i="2"/>
  <c r="G12" i="2"/>
  <c r="C25" i="2"/>
  <c r="E17" i="2"/>
  <c r="D25" i="2"/>
  <c r="Q29" i="2"/>
  <c r="K12" i="2"/>
  <c r="E25" i="2"/>
  <c r="Q30" i="2"/>
  <c r="C26" i="2"/>
  <c r="H12" i="2"/>
  <c r="S15" i="2"/>
  <c r="S17" i="2" s="1"/>
  <c r="S27" i="2" s="1"/>
  <c r="S25" i="2"/>
  <c r="I12" i="2"/>
  <c r="H25" i="2"/>
  <c r="E26" i="2"/>
  <c r="I25" i="2"/>
  <c r="M31" i="2"/>
  <c r="L31" i="2"/>
  <c r="P31" i="2"/>
  <c r="L12" i="2"/>
  <c r="L15" i="2" s="1"/>
  <c r="L17" i="2" s="1"/>
  <c r="P12" i="2"/>
  <c r="P15" i="2" s="1"/>
  <c r="P17" i="2" s="1"/>
  <c r="P25" i="2"/>
  <c r="N12" i="2"/>
  <c r="N26" i="2" s="1"/>
  <c r="R12" i="2"/>
  <c r="R26" i="2" s="1"/>
  <c r="R25" i="2"/>
  <c r="O31" i="2"/>
  <c r="S31" i="2"/>
  <c r="J17" i="2"/>
  <c r="C17" i="2"/>
  <c r="M12" i="2"/>
  <c r="O12" i="2"/>
  <c r="AD7" i="2" l="1"/>
  <c r="AD25" i="2" s="1"/>
  <c r="AD8" i="2"/>
  <c r="AE23" i="2"/>
  <c r="AD9" i="2"/>
  <c r="AE10" i="2"/>
  <c r="AF5" i="2"/>
  <c r="AF10" i="2" s="1"/>
  <c r="AE7" i="2"/>
  <c r="AE25" i="2" s="1"/>
  <c r="AE8" i="2"/>
  <c r="AE9" i="2"/>
  <c r="AD23" i="2"/>
  <c r="AC9" i="2"/>
  <c r="AC10" i="2"/>
  <c r="AC8" i="2"/>
  <c r="AC11" i="2" s="1"/>
  <c r="AF22" i="2"/>
  <c r="AG5" i="2"/>
  <c r="AF21" i="2"/>
  <c r="AC7" i="2"/>
  <c r="AC25" i="2" s="1"/>
  <c r="AC23" i="2"/>
  <c r="AB7" i="2"/>
  <c r="Q7" i="2"/>
  <c r="N15" i="2"/>
  <c r="N17" i="2" s="1"/>
  <c r="Q31" i="2"/>
  <c r="S19" i="2"/>
  <c r="J26" i="2"/>
  <c r="D26" i="2"/>
  <c r="AA12" i="2"/>
  <c r="AA25" i="2"/>
  <c r="Z12" i="2"/>
  <c r="Z25" i="2"/>
  <c r="Y12" i="2"/>
  <c r="Y25" i="2"/>
  <c r="X15" i="2"/>
  <c r="X17" i="2" s="1"/>
  <c r="X26" i="2"/>
  <c r="B19" i="2"/>
  <c r="B27" i="2"/>
  <c r="O26" i="2"/>
  <c r="O15" i="2"/>
  <c r="O17" i="2" s="1"/>
  <c r="I15" i="2"/>
  <c r="I17" i="2" s="1"/>
  <c r="I26" i="2"/>
  <c r="K15" i="2"/>
  <c r="K17" i="2" s="1"/>
  <c r="K26" i="2"/>
  <c r="D19" i="2"/>
  <c r="D27" i="2"/>
  <c r="F26" i="2"/>
  <c r="F15" i="2"/>
  <c r="F17" i="2" s="1"/>
  <c r="G15" i="2"/>
  <c r="G17" i="2" s="1"/>
  <c r="G26" i="2"/>
  <c r="J19" i="2"/>
  <c r="J27" i="2"/>
  <c r="C19" i="2"/>
  <c r="C27" i="2"/>
  <c r="H15" i="2"/>
  <c r="H17" i="2" s="1"/>
  <c r="H26" i="2"/>
  <c r="E19" i="2"/>
  <c r="E27" i="2"/>
  <c r="M26" i="2"/>
  <c r="M15" i="2"/>
  <c r="M17" i="2" s="1"/>
  <c r="L26" i="2"/>
  <c r="L19" i="2"/>
  <c r="L27" i="2"/>
  <c r="P26" i="2"/>
  <c r="P19" i="2"/>
  <c r="P27" i="2"/>
  <c r="N19" i="2"/>
  <c r="N27" i="2"/>
  <c r="R15" i="2"/>
  <c r="R17" i="2" s="1"/>
  <c r="R19" i="2" s="1"/>
  <c r="AF23" i="2" l="1"/>
  <c r="AD11" i="2"/>
  <c r="AD12" i="2" s="1"/>
  <c r="AD26" i="2" s="1"/>
  <c r="AF7" i="2"/>
  <c r="AF25" i="2" s="1"/>
  <c r="AF9" i="2"/>
  <c r="AF8" i="2"/>
  <c r="AG8" i="2"/>
  <c r="AG10" i="2"/>
  <c r="AG9" i="2"/>
  <c r="AG23" i="2"/>
  <c r="AG7" i="2"/>
  <c r="AG25" i="2" s="1"/>
  <c r="AE11" i="2"/>
  <c r="AE12" i="2" s="1"/>
  <c r="AE26" i="2" s="1"/>
  <c r="AB12" i="2"/>
  <c r="AB26" i="2" s="1"/>
  <c r="AB25" i="2"/>
  <c r="AG22" i="2"/>
  <c r="AH21" i="2"/>
  <c r="AG21" i="2"/>
  <c r="AC12" i="2"/>
  <c r="AC26" i="2" s="1"/>
  <c r="Q25" i="2"/>
  <c r="Q12" i="2"/>
  <c r="AA15" i="2"/>
  <c r="AA17" i="2" s="1"/>
  <c r="AA26" i="2"/>
  <c r="Z15" i="2"/>
  <c r="Z17" i="2" s="1"/>
  <c r="Z26" i="2"/>
  <c r="Y15" i="2"/>
  <c r="Y17" i="2" s="1"/>
  <c r="Y26" i="2"/>
  <c r="X27" i="2"/>
  <c r="X19" i="2"/>
  <c r="F19" i="2"/>
  <c r="F27" i="2"/>
  <c r="O19" i="2"/>
  <c r="O27" i="2"/>
  <c r="G19" i="2"/>
  <c r="G27" i="2"/>
  <c r="H19" i="2"/>
  <c r="H27" i="2"/>
  <c r="K19" i="2"/>
  <c r="K27" i="2"/>
  <c r="I19" i="2"/>
  <c r="I27" i="2"/>
  <c r="M19" i="2"/>
  <c r="M27" i="2"/>
  <c r="R27" i="2"/>
  <c r="AH22" i="2" l="1"/>
  <c r="AH5" i="2"/>
  <c r="AF11" i="2"/>
  <c r="AF12" i="2" s="1"/>
  <c r="AB15" i="2"/>
  <c r="Q26" i="2"/>
  <c r="Q15" i="2"/>
  <c r="Q17" i="2" s="1"/>
  <c r="AA27" i="2"/>
  <c r="AA19" i="2"/>
  <c r="Z27" i="2"/>
  <c r="Z19" i="2"/>
  <c r="Y27" i="2"/>
  <c r="Y19" i="2"/>
  <c r="AB16" i="2" l="1"/>
  <c r="AB17" i="2" s="1"/>
  <c r="AH8" i="2"/>
  <c r="AH9" i="2"/>
  <c r="AH23" i="2"/>
  <c r="AH10" i="2"/>
  <c r="AH7" i="2"/>
  <c r="AH25" i="2" s="1"/>
  <c r="AG11" i="2"/>
  <c r="AG12" i="2" s="1"/>
  <c r="AF26" i="2"/>
  <c r="Q19" i="2"/>
  <c r="Q27" i="2"/>
  <c r="AB27" i="2" l="1"/>
  <c r="AB35" i="2"/>
  <c r="AB19" i="2"/>
  <c r="AH11" i="2"/>
  <c r="AH12" i="2" s="1"/>
  <c r="AG26" i="2"/>
  <c r="AC13" i="2" l="1"/>
  <c r="AC15" i="2" s="1"/>
  <c r="AC16" i="2" s="1"/>
  <c r="AC17" i="2" s="1"/>
  <c r="AH26" i="2"/>
  <c r="AC19" i="2" l="1"/>
  <c r="AC27" i="2"/>
  <c r="AC35" i="2"/>
  <c r="AD13" i="2" l="1"/>
  <c r="AD15" i="2" s="1"/>
  <c r="AD16" i="2" s="1"/>
  <c r="AD17" i="2" s="1"/>
  <c r="AD35" i="2" s="1"/>
  <c r="AE13" i="2" l="1"/>
  <c r="AE15" i="2" s="1"/>
  <c r="AE16" i="2" s="1"/>
  <c r="AE17" i="2" s="1"/>
  <c r="AE35" i="2" s="1"/>
  <c r="AD27" i="2"/>
  <c r="AD19" i="2"/>
  <c r="AF13" i="2" l="1"/>
  <c r="AF15" i="2" s="1"/>
  <c r="AF16" i="2" s="1"/>
  <c r="AF17" i="2" s="1"/>
  <c r="AE27" i="2"/>
  <c r="AE19" i="2"/>
  <c r="AF27" i="2" l="1"/>
  <c r="AF19" i="2"/>
  <c r="AF35" i="2"/>
  <c r="AG13" i="2" l="1"/>
  <c r="AG15" i="2" s="1"/>
  <c r="AG16" i="2" s="1"/>
  <c r="AG17" i="2" s="1"/>
  <c r="AG35" i="2"/>
  <c r="AH13" i="2" l="1"/>
  <c r="AH15" i="2" s="1"/>
  <c r="AH16" i="2" s="1"/>
  <c r="AH17" i="2" s="1"/>
  <c r="AG27" i="2"/>
  <c r="AG19" i="2"/>
  <c r="AI17" i="2" l="1"/>
  <c r="AH27" i="2"/>
  <c r="AH19" i="2"/>
  <c r="AH35" i="2"/>
  <c r="AJ17" i="2" l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AK4" i="2" l="1"/>
  <c r="AK6" i="2" s="1"/>
  <c r="AK7" i="2" s="1"/>
</calcChain>
</file>

<file path=xl/sharedStrings.xml><?xml version="1.0" encoding="utf-8"?>
<sst xmlns="http://schemas.openxmlformats.org/spreadsheetml/2006/main" count="95" uniqueCount="93">
  <si>
    <t>ticket</t>
  </si>
  <si>
    <t>price</t>
  </si>
  <si>
    <t>shares</t>
  </si>
  <si>
    <t>mc</t>
  </si>
  <si>
    <t>cash</t>
  </si>
  <si>
    <t>debt</t>
  </si>
  <si>
    <t>ev</t>
  </si>
  <si>
    <t>QLYS</t>
  </si>
  <si>
    <t>Founded</t>
  </si>
  <si>
    <t>CEO</t>
  </si>
  <si>
    <t>HQ</t>
  </si>
  <si>
    <t>Foster City, California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</si>
  <si>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</si>
  <si>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</si>
  <si>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</si>
  <si>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</si>
  <si>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</si>
  <si>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</si>
  <si>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</si>
  <si>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</si>
  <si>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</si>
  <si>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</si>
  <si>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</si>
  <si>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</si>
  <si>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</si>
  <si>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</si>
  <si>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</si>
  <si>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</si>
  <si>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</si>
  <si>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</si>
  <si>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</si>
  <si>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</si>
  <si>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</si>
  <si>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</si>
  <si>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</si>
  <si>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R&amp;D</t>
  </si>
  <si>
    <t>S&amp;M</t>
  </si>
  <si>
    <t>G&amp;A</t>
  </si>
  <si>
    <t>Total Opex</t>
  </si>
  <si>
    <t>Operating Income</t>
  </si>
  <si>
    <t>Interest Income</t>
  </si>
  <si>
    <t>Pretax Income</t>
  </si>
  <si>
    <t>Taxes</t>
  </si>
  <si>
    <t>Net Income</t>
  </si>
  <si>
    <t>Shares</t>
  </si>
  <si>
    <t>EPS</t>
  </si>
  <si>
    <t>Direct</t>
  </si>
  <si>
    <t>Partner</t>
  </si>
  <si>
    <t>Other Income</t>
  </si>
  <si>
    <t>Direct Y/Y</t>
  </si>
  <si>
    <t>Partner Y/Y</t>
  </si>
  <si>
    <t>GM %</t>
  </si>
  <si>
    <t>OM%</t>
  </si>
  <si>
    <t>NM%</t>
  </si>
  <si>
    <t>CFFO</t>
  </si>
  <si>
    <t>CAPEX</t>
  </si>
  <si>
    <t>FCF</t>
  </si>
  <si>
    <t>net cash</t>
  </si>
  <si>
    <t>Stock Buybacks</t>
  </si>
  <si>
    <t>Revenue Y/Y</t>
  </si>
  <si>
    <t>%FCF</t>
  </si>
  <si>
    <t>FCF TTM</t>
  </si>
  <si>
    <t>prominent SaaS cloud-based security and compliance solutions provider</t>
  </si>
  <si>
    <t>Subscription customers</t>
  </si>
  <si>
    <t>Palo Alto Networks</t>
  </si>
  <si>
    <t>Rapid7</t>
  </si>
  <si>
    <t>Tenable</t>
  </si>
  <si>
    <t>Qualys</t>
  </si>
  <si>
    <t>Fortinet</t>
  </si>
  <si>
    <t>Company</t>
  </si>
  <si>
    <t>~9-10%</t>
  </si>
  <si>
    <t>Cisco (Cisco Security)</t>
  </si>
  <si>
    <t>~6-7%</t>
  </si>
  <si>
    <t>~3-4%</t>
  </si>
  <si>
    <t>Broadcom (Symantec/CA)</t>
  </si>
  <si>
    <t>~4-5%</t>
  </si>
  <si>
    <t>CrowdStrike</t>
  </si>
  <si>
    <t>~5-6%</t>
  </si>
  <si>
    <t>~1-2%</t>
  </si>
  <si>
    <t>~1-1.5%</t>
  </si>
  <si>
    <t>Check Point</t>
  </si>
  <si>
    <t>~2-3%</t>
  </si>
  <si>
    <t>McAfee (Trellix)</t>
  </si>
  <si>
    <t>Global Market Share</t>
  </si>
  <si>
    <t>Revenue FWD</t>
  </si>
  <si>
    <t>Discount</t>
  </si>
  <si>
    <t>Maturity</t>
  </si>
  <si>
    <t>NPV</t>
  </si>
  <si>
    <t>Net cash</t>
  </si>
  <si>
    <t>MC</t>
  </si>
  <si>
    <t>Price</t>
  </si>
  <si>
    <t>employees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</si>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</sst>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#,##0.0"/>
    <numFmt numFmtId="166" formatCode="0.0%"/>
    <numFmt numFmtId="167" formatCode="_-[$$-409]* #,##0_ ;_-[$$-409]* \-#,##0\ ;_-[$$-409]* &quot;-&quot;??_ ;_-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5" fontId="2" fillId="0" borderId="0" xfId="0" applyNumberFormat="1" applyFont="1"/>
    <xf numFmtId="9" fontId="2" fillId="0" borderId="0" xfId="0" applyNumberFormat="1" applyFont="1"/>
    <xf numFmtId="167" fontId="2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9" fontId="3" fillId="0" borderId="0" xfId="0" applyNumberFormat="1" applyFont="1"/>
    <xf numFmtId="166" fontId="3" fillId="0" borderId="0" xfId="0" applyNumberFormat="1" applyFont="1"/>
    <xf numFmtId="4" fontId="2" fillId="0" borderId="0" xfId="0" applyNumberFormat="1" applyFont="1"/>
    <xf numFmtId="166" fontId="2" fillId="0" borderId="0" xfId="1" applyNumberFormat="1" applyFont="1"/>
    <xf numFmtId="1" fontId="2" fillId="0" borderId="0" xfId="0" applyNumberFormat="1" applyFont="1"/>
    <xf numFmtId="1" fontId="3" fillId="0" borderId="0" xfId="0" applyNumberFormat="1" applyFont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0</xdr:row>
      <xdr:rowOff>9525</xdr:rowOff>
    </xdr:from>
    <xdr:to>
      <xdr:col>27</xdr:col>
      <xdr:colOff>9525</xdr:colOff>
      <xdr:row>40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A90054-7FA5-9557-E85B-754D91F6CFB3}"/>
            </a:ext>
          </a:extLst>
        </xdr:cNvPr>
        <xdr:cNvCxnSpPr/>
      </xdr:nvCxnSpPr>
      <xdr:spPr>
        <a:xfrm>
          <a:off x="17011650" y="9525"/>
          <a:ext cx="0" cy="7324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EA60-D22C-4B27-82C6-51F76C1A81B5}">
  <dimension ref="A1:E22"/>
  <sheetViews>
    <sheetView workbookViewId="0">
      <selection activeCell="D27" sqref="D27"/>
    </sheetView>
  </sheetViews>
  <sheetFormatPr defaultRowHeight="12.75" x14ac:dyDescent="0.2"/>
  <cols>
    <col min="1" max="1" width="19" style="1" customWidth="1"/>
    <col min="2" max="2" width="20" style="1" customWidth="1"/>
    <col min="3" max="3" width="12.7109375" style="1" bestFit="1" customWidth="1"/>
    <col min="4" max="16384" width="9.140625" style="1"/>
  </cols>
  <sheetData>
    <row r="1" spans="1:5" x14ac:dyDescent="0.2">
      <c r="A1" s="1" t="s">
        <v>0</v>
      </c>
      <c r="B1" s="1" t="s">
        <v>7</v>
      </c>
    </row>
    <row r="2" spans="1:5" x14ac:dyDescent="0.2">
      <c r="A2" s="1" t="s">
        <v>1</v>
      </c>
      <c r="B2" s="1">
        <v>123.11</v>
      </c>
      <c r="D2" s="1" t="s">
        <v>8</v>
      </c>
      <c r="E2" s="1">
        <v>1999</v>
      </c>
    </row>
    <row r="3" spans="1:5" x14ac:dyDescent="0.2">
      <c r="A3" s="1" t="s">
        <v>2</v>
      </c>
      <c r="B3" s="1">
        <v>36.811</v>
      </c>
      <c r="D3" s="1" t="s">
        <v>9</v>
      </c>
    </row>
    <row r="4" spans="1:5" x14ac:dyDescent="0.2">
      <c r="A4" s="1" t="s">
        <v>3</v>
      </c>
      <c r="B4" s="2">
        <f>+B2*B3</f>
        <v>4531.8022099999998</v>
      </c>
      <c r="D4" s="1" t="s">
        <v>10</v>
      </c>
      <c r="E4" s="1" t="s">
        <v>11</v>
      </c>
    </row>
    <row r="5" spans="1:5" x14ac:dyDescent="0.2">
      <c r="A5" s="1" t="s">
        <v>4</v>
      </c>
      <c r="B5" s="2">
        <f>281.205+112.004+162.058+1.2</f>
        <v>556.4670000000001</v>
      </c>
      <c r="D5" s="1" t="s">
        <v>91</v>
      </c>
      <c r="E5" s="2">
        <v>2188</v>
      </c>
    </row>
    <row r="6" spans="1:5" x14ac:dyDescent="0.2">
      <c r="A6" s="1" t="s">
        <v>5</v>
      </c>
      <c r="B6" s="2">
        <v>0</v>
      </c>
    </row>
    <row r="7" spans="1:5" x14ac:dyDescent="0.2">
      <c r="A7" s="1" t="s">
        <v>6</v>
      </c>
      <c r="B7" s="2">
        <f>+B4-B5+B6</f>
        <v>3975.3352099999997</v>
      </c>
    </row>
    <row r="10" spans="1:5" x14ac:dyDescent="0.2">
      <c r="A10" s="1" t="s">
        <v>62</v>
      </c>
    </row>
    <row r="12" spans="1:5" x14ac:dyDescent="0.2">
      <c r="A12" s="3" t="s">
        <v>69</v>
      </c>
      <c r="B12" s="3" t="s">
        <v>83</v>
      </c>
      <c r="C12" s="4" t="s">
        <v>84</v>
      </c>
    </row>
    <row r="13" spans="1:5" x14ac:dyDescent="0.2">
      <c r="A13" s="5" t="s">
        <v>64</v>
      </c>
      <c r="B13" s="6" t="s">
        <v>70</v>
      </c>
      <c r="C13" s="2">
        <v>7900</v>
      </c>
    </row>
    <row r="14" spans="1:5" ht="25.5" x14ac:dyDescent="0.2">
      <c r="A14" s="5" t="s">
        <v>71</v>
      </c>
      <c r="B14" s="6" t="s">
        <v>72</v>
      </c>
      <c r="C14" s="2">
        <v>6400</v>
      </c>
    </row>
    <row r="15" spans="1:5" x14ac:dyDescent="0.2">
      <c r="A15" s="5" t="s">
        <v>68</v>
      </c>
      <c r="B15" s="6" t="s">
        <v>73</v>
      </c>
      <c r="C15" s="2">
        <v>5720</v>
      </c>
    </row>
    <row r="16" spans="1:5" ht="25.5" x14ac:dyDescent="0.2">
      <c r="A16" s="5" t="s">
        <v>74</v>
      </c>
      <c r="B16" s="6" t="s">
        <v>75</v>
      </c>
      <c r="C16" s="2">
        <v>21200</v>
      </c>
    </row>
    <row r="17" spans="1:3" x14ac:dyDescent="0.2">
      <c r="A17" s="5" t="s">
        <v>76</v>
      </c>
      <c r="B17" s="6" t="s">
        <v>77</v>
      </c>
      <c r="C17" s="2">
        <v>2930</v>
      </c>
    </row>
    <row r="18" spans="1:3" x14ac:dyDescent="0.2">
      <c r="A18" s="5" t="s">
        <v>66</v>
      </c>
      <c r="B18" s="6" t="s">
        <v>78</v>
      </c>
      <c r="C18" s="2">
        <v>790</v>
      </c>
    </row>
    <row r="19" spans="1:3" x14ac:dyDescent="0.2">
      <c r="A19" s="5" t="s">
        <v>67</v>
      </c>
      <c r="B19" s="6" t="s">
        <v>79</v>
      </c>
      <c r="C19" s="2">
        <v>590</v>
      </c>
    </row>
    <row r="20" spans="1:3" x14ac:dyDescent="0.2">
      <c r="A20" s="5" t="s">
        <v>65</v>
      </c>
      <c r="B20" s="6" t="s">
        <v>78</v>
      </c>
      <c r="C20" s="2">
        <v>830</v>
      </c>
    </row>
    <row r="21" spans="1:3" x14ac:dyDescent="0.2">
      <c r="A21" s="5" t="s">
        <v>80</v>
      </c>
      <c r="B21" s="6" t="s">
        <v>81</v>
      </c>
      <c r="C21" s="2">
        <v>2360</v>
      </c>
    </row>
    <row r="22" spans="1:3" x14ac:dyDescent="0.2">
      <c r="A22" s="5" t="s">
        <v>82</v>
      </c>
      <c r="B22" s="6" t="s">
        <v>73</v>
      </c>
      <c r="C22" s="2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31A2-B83E-48AD-B91A-3384E41A3D5C}">
  <dimension ref="A1:CH40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M1" sqref="AM1"/>
    </sheetView>
  </sheetViews>
  <sheetFormatPr defaultRowHeight="12.75" x14ac:dyDescent="0.2"/>
  <cols>
    <col min="1" max="1" width="22.28515625" style="1" bestFit="1" customWidth="1"/>
    <col min="2" max="36" width="9.140625" style="1"/>
    <col min="37" max="37" width="9.28515625" style="1" customWidth="1"/>
    <col min="38" max="16384" width="9.140625" style="1"/>
  </cols>
  <sheetData>
    <row r="1" spans="1:39" x14ac:dyDescent="0.2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X1" s="4">
        <v>2020</v>
      </c>
      <c r="Y1" s="4">
        <f>+X1+1</f>
        <v>2021</v>
      </c>
      <c r="Z1" s="4">
        <f t="shared" ref="Z1:AH1" si="0">+Y1+1</f>
        <v>2022</v>
      </c>
      <c r="AA1" s="4">
        <f t="shared" si="0"/>
        <v>2023</v>
      </c>
      <c r="AB1" s="4">
        <f t="shared" si="0"/>
        <v>2024</v>
      </c>
      <c r="AC1" s="4">
        <f t="shared" si="0"/>
        <v>2025</v>
      </c>
      <c r="AD1" s="4">
        <f t="shared" si="0"/>
        <v>2026</v>
      </c>
      <c r="AE1" s="4">
        <f t="shared" si="0"/>
        <v>2027</v>
      </c>
      <c r="AF1" s="4">
        <f t="shared" si="0"/>
        <v>2028</v>
      </c>
      <c r="AG1" s="4">
        <f t="shared" si="0"/>
        <v>2029</v>
      </c>
      <c r="AH1" s="4">
        <f t="shared" si="0"/>
        <v>2030</v>
      </c>
    </row>
    <row r="2" spans="1:39" x14ac:dyDescent="0.2">
      <c r="A2" s="1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>
        <v>72.957999999999998</v>
      </c>
      <c r="M2" s="7"/>
      <c r="N2" s="7">
        <v>75.093000000000004</v>
      </c>
      <c r="O2" s="7">
        <v>78.817999999999998</v>
      </c>
      <c r="P2" s="7">
        <v>80.498999999999995</v>
      </c>
      <c r="Q2" s="7">
        <f>+AA2-SUM(N2:P2)</f>
        <v>80.578000000000003</v>
      </c>
      <c r="R2" s="7">
        <v>80.126000000000005</v>
      </c>
      <c r="S2" s="7">
        <v>80.302999999999997</v>
      </c>
      <c r="X2" s="7"/>
      <c r="Y2" s="7">
        <v>243.38900000000001</v>
      </c>
      <c r="Z2" s="7">
        <v>285.38200000000001</v>
      </c>
      <c r="AA2" s="7">
        <v>314.988</v>
      </c>
      <c r="AB2" s="7">
        <f>+AA2*1.08</f>
        <v>340.18704000000002</v>
      </c>
      <c r="AC2" s="7">
        <f>+AB2*1.07</f>
        <v>364.00013280000007</v>
      </c>
      <c r="AD2" s="7">
        <f>+AC2*1.1</f>
        <v>400.40014608000013</v>
      </c>
      <c r="AE2" s="7">
        <f t="shared" ref="AE2:AH2" si="1">+AD2*1.1</f>
        <v>440.44016068800016</v>
      </c>
      <c r="AF2" s="7">
        <f t="shared" si="1"/>
        <v>484.4841767568002</v>
      </c>
      <c r="AG2" s="7">
        <f t="shared" si="1"/>
        <v>532.9325944324803</v>
      </c>
      <c r="AH2" s="7">
        <f t="shared" si="1"/>
        <v>586.22585387572838</v>
      </c>
      <c r="AJ2" s="1" t="s">
        <v>85</v>
      </c>
      <c r="AK2" s="8">
        <v>0.08</v>
      </c>
      <c r="AL2" s="1" t="s">
        <v>92</v>
      </c>
      <c r="AM2" s="8">
        <v>0.02</v>
      </c>
    </row>
    <row r="3" spans="1:39" x14ac:dyDescent="0.2">
      <c r="A3" s="1" t="s">
        <v>47</v>
      </c>
      <c r="B3" s="7"/>
      <c r="C3" s="7"/>
      <c r="D3" s="7"/>
      <c r="E3" s="7"/>
      <c r="F3" s="7"/>
      <c r="G3" s="7"/>
      <c r="H3" s="7"/>
      <c r="I3" s="7"/>
      <c r="J3" s="7"/>
      <c r="K3" s="7"/>
      <c r="L3" s="7">
        <v>52.603000000000002</v>
      </c>
      <c r="M3" s="7"/>
      <c r="N3" s="7">
        <v>55.59</v>
      </c>
      <c r="O3" s="7">
        <v>58.390999999999998</v>
      </c>
      <c r="P3" s="7">
        <v>61.497</v>
      </c>
      <c r="Q3" s="7">
        <f t="shared" ref="Q3" si="2">+AA3-SUM(N3:P3)</f>
        <v>63.99199999999999</v>
      </c>
      <c r="R3" s="7">
        <v>65.679000000000002</v>
      </c>
      <c r="S3" s="7">
        <v>68.405000000000001</v>
      </c>
      <c r="X3" s="7"/>
      <c r="Y3" s="7">
        <v>167.78299999999999</v>
      </c>
      <c r="Z3" s="7">
        <v>204.34100000000001</v>
      </c>
      <c r="AA3" s="7">
        <v>239.47</v>
      </c>
      <c r="AB3" s="7">
        <f>+AA3*1.1</f>
        <v>263.41700000000003</v>
      </c>
      <c r="AC3" s="7">
        <f>+AB3*1.12</f>
        <v>295.02704000000006</v>
      </c>
      <c r="AD3" s="7">
        <f t="shared" ref="AD3:AH3" si="3">+AC3*1.12</f>
        <v>330.43028480000009</v>
      </c>
      <c r="AE3" s="7">
        <f t="shared" si="3"/>
        <v>370.08191897600017</v>
      </c>
      <c r="AF3" s="7">
        <f t="shared" si="3"/>
        <v>414.49174925312025</v>
      </c>
      <c r="AG3" s="7">
        <f t="shared" si="3"/>
        <v>464.23075916349472</v>
      </c>
      <c r="AH3" s="7">
        <f t="shared" si="3"/>
        <v>519.93845026311419</v>
      </c>
      <c r="AJ3" s="1" t="s">
        <v>86</v>
      </c>
      <c r="AK3" s="8">
        <v>0.02</v>
      </c>
    </row>
    <row r="4" spans="1:39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X4" s="7"/>
      <c r="Y4" s="7"/>
      <c r="Z4" s="7"/>
      <c r="AA4" s="7"/>
      <c r="AB4" s="7"/>
      <c r="AC4" s="7"/>
      <c r="AJ4" s="1" t="s">
        <v>87</v>
      </c>
      <c r="AK4" s="9">
        <f>+NPV(AK2,AB17:XFD17)</f>
        <v>4369.2993009422789</v>
      </c>
    </row>
    <row r="5" spans="1:39" s="4" customFormat="1" x14ac:dyDescent="0.2">
      <c r="A5" s="4" t="s">
        <v>32</v>
      </c>
      <c r="B5" s="10">
        <f t="shared" ref="B5:R5" si="4">+B2+B3</f>
        <v>0</v>
      </c>
      <c r="C5" s="10">
        <f t="shared" si="4"/>
        <v>0</v>
      </c>
      <c r="D5" s="10">
        <f t="shared" si="4"/>
        <v>0</v>
      </c>
      <c r="E5" s="10">
        <f t="shared" si="4"/>
        <v>0</v>
      </c>
      <c r="F5" s="10">
        <f t="shared" si="4"/>
        <v>0</v>
      </c>
      <c r="G5" s="10">
        <f t="shared" si="4"/>
        <v>0</v>
      </c>
      <c r="H5" s="10">
        <f t="shared" si="4"/>
        <v>0</v>
      </c>
      <c r="I5" s="10">
        <f t="shared" si="4"/>
        <v>0</v>
      </c>
      <c r="J5" s="10">
        <f t="shared" si="4"/>
        <v>0</v>
      </c>
      <c r="K5" s="10">
        <f t="shared" si="4"/>
        <v>0</v>
      </c>
      <c r="L5" s="10">
        <f t="shared" si="4"/>
        <v>125.56100000000001</v>
      </c>
      <c r="M5" s="10">
        <f t="shared" si="4"/>
        <v>0</v>
      </c>
      <c r="N5" s="10">
        <f t="shared" si="4"/>
        <v>130.68299999999999</v>
      </c>
      <c r="O5" s="10">
        <f t="shared" si="4"/>
        <v>137.209</v>
      </c>
      <c r="P5" s="10">
        <f t="shared" si="4"/>
        <v>141.99599999999998</v>
      </c>
      <c r="Q5" s="10">
        <f t="shared" si="4"/>
        <v>144.57</v>
      </c>
      <c r="R5" s="10">
        <f t="shared" si="4"/>
        <v>145.80500000000001</v>
      </c>
      <c r="S5" s="10">
        <f>+S2+S3</f>
        <v>148.708</v>
      </c>
      <c r="X5" s="10">
        <f t="shared" ref="X5:AC5" si="5">+X2+X3</f>
        <v>0</v>
      </c>
      <c r="Y5" s="10">
        <f t="shared" si="5"/>
        <v>411.17200000000003</v>
      </c>
      <c r="Z5" s="10">
        <f t="shared" si="5"/>
        <v>489.72300000000001</v>
      </c>
      <c r="AA5" s="10">
        <f t="shared" si="5"/>
        <v>554.45799999999997</v>
      </c>
      <c r="AB5" s="10">
        <f t="shared" si="5"/>
        <v>603.60404000000005</v>
      </c>
      <c r="AC5" s="10">
        <f t="shared" si="5"/>
        <v>659.02717280000013</v>
      </c>
      <c r="AD5" s="10">
        <f t="shared" ref="AD5:AH5" si="6">+AD2+AD3</f>
        <v>730.83043088000022</v>
      </c>
      <c r="AE5" s="10">
        <f t="shared" si="6"/>
        <v>810.52207966400033</v>
      </c>
      <c r="AF5" s="10">
        <f t="shared" si="6"/>
        <v>898.97592600992039</v>
      </c>
      <c r="AG5" s="10">
        <f t="shared" si="6"/>
        <v>997.16335359597497</v>
      </c>
      <c r="AH5" s="10">
        <f t="shared" si="6"/>
        <v>1106.1643041388425</v>
      </c>
      <c r="AJ5" s="1" t="s">
        <v>88</v>
      </c>
      <c r="AK5" s="2">
        <f>+main!B5</f>
        <v>556.4670000000001</v>
      </c>
    </row>
    <row r="6" spans="1:39" x14ac:dyDescent="0.2">
      <c r="A6" s="1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>
        <v>25.992000000000001</v>
      </c>
      <c r="M6" s="7">
        <v>27.748000000000001</v>
      </c>
      <c r="N6" s="7">
        <v>26.954000000000001</v>
      </c>
      <c r="O6" s="7">
        <v>26.661999999999999</v>
      </c>
      <c r="P6" s="7">
        <v>26.739000000000001</v>
      </c>
      <c r="Q6" s="7">
        <v>27.13</v>
      </c>
      <c r="R6" s="7">
        <v>27.198</v>
      </c>
      <c r="S6" s="7">
        <v>26.414999999999999</v>
      </c>
      <c r="X6" s="7"/>
      <c r="Y6" s="7">
        <v>89.438999999999993</v>
      </c>
      <c r="Z6" s="7">
        <v>102.788</v>
      </c>
      <c r="AA6" s="7">
        <v>107.485</v>
      </c>
      <c r="AB6" s="7">
        <f>+AA6*1.065</f>
        <v>114.471525</v>
      </c>
      <c r="AC6" s="7">
        <f t="shared" ref="AC6:AH6" si="7">+AB6*1.065</f>
        <v>121.91217412499999</v>
      </c>
      <c r="AD6" s="7">
        <f t="shared" si="7"/>
        <v>129.83646544312498</v>
      </c>
      <c r="AE6" s="7">
        <f t="shared" si="7"/>
        <v>138.27583569692808</v>
      </c>
      <c r="AF6" s="7">
        <f t="shared" si="7"/>
        <v>147.26376501722839</v>
      </c>
      <c r="AG6" s="7">
        <f t="shared" si="7"/>
        <v>156.83590974334822</v>
      </c>
      <c r="AH6" s="7">
        <f t="shared" si="7"/>
        <v>167.03024387666585</v>
      </c>
      <c r="AJ6" s="1" t="s">
        <v>89</v>
      </c>
      <c r="AK6" s="2">
        <f>+AK4+AK5</f>
        <v>4925.7663009422795</v>
      </c>
    </row>
    <row r="7" spans="1:39" s="4" customFormat="1" x14ac:dyDescent="0.2">
      <c r="A7" s="4" t="s">
        <v>34</v>
      </c>
      <c r="B7" s="10">
        <f t="shared" ref="B7:R7" si="8">+B5-B6</f>
        <v>0</v>
      </c>
      <c r="C7" s="10">
        <f t="shared" si="8"/>
        <v>0</v>
      </c>
      <c r="D7" s="10">
        <f t="shared" si="8"/>
        <v>0</v>
      </c>
      <c r="E7" s="10">
        <f t="shared" si="8"/>
        <v>0</v>
      </c>
      <c r="F7" s="10">
        <f t="shared" si="8"/>
        <v>0</v>
      </c>
      <c r="G7" s="10">
        <f t="shared" si="8"/>
        <v>0</v>
      </c>
      <c r="H7" s="10">
        <f t="shared" si="8"/>
        <v>0</v>
      </c>
      <c r="I7" s="10">
        <f t="shared" si="8"/>
        <v>0</v>
      </c>
      <c r="J7" s="10">
        <f t="shared" si="8"/>
        <v>0</v>
      </c>
      <c r="K7" s="10">
        <f t="shared" si="8"/>
        <v>0</v>
      </c>
      <c r="L7" s="10">
        <f t="shared" si="8"/>
        <v>99.569000000000003</v>
      </c>
      <c r="M7" s="10">
        <f t="shared" si="8"/>
        <v>-27.748000000000001</v>
      </c>
      <c r="N7" s="10">
        <f t="shared" si="8"/>
        <v>103.72899999999998</v>
      </c>
      <c r="O7" s="10">
        <f t="shared" si="8"/>
        <v>110.547</v>
      </c>
      <c r="P7" s="10">
        <f t="shared" si="8"/>
        <v>115.25699999999998</v>
      </c>
      <c r="Q7" s="10">
        <f t="shared" si="8"/>
        <v>117.44</v>
      </c>
      <c r="R7" s="10">
        <f t="shared" si="8"/>
        <v>118.607</v>
      </c>
      <c r="S7" s="10">
        <f>+S5-S6</f>
        <v>122.29300000000001</v>
      </c>
      <c r="X7" s="10">
        <f t="shared" ref="X7:AC7" si="9">+X5-X6</f>
        <v>0</v>
      </c>
      <c r="Y7" s="10">
        <f t="shared" si="9"/>
        <v>321.73300000000006</v>
      </c>
      <c r="Z7" s="10">
        <f t="shared" si="9"/>
        <v>386.935</v>
      </c>
      <c r="AA7" s="10">
        <f t="shared" si="9"/>
        <v>446.97299999999996</v>
      </c>
      <c r="AB7" s="10">
        <f t="shared" si="9"/>
        <v>489.13251500000007</v>
      </c>
      <c r="AC7" s="10">
        <f t="shared" si="9"/>
        <v>537.11499867500015</v>
      </c>
      <c r="AD7" s="10">
        <f t="shared" ref="AD7:AH7" si="10">+AD5-AD6</f>
        <v>600.99396543687521</v>
      </c>
      <c r="AE7" s="10">
        <f t="shared" si="10"/>
        <v>672.24624396707225</v>
      </c>
      <c r="AF7" s="10">
        <f t="shared" si="10"/>
        <v>751.71216099269202</v>
      </c>
      <c r="AG7" s="10">
        <f t="shared" si="10"/>
        <v>840.32744385262674</v>
      </c>
      <c r="AH7" s="10">
        <f t="shared" si="10"/>
        <v>939.1340602621766</v>
      </c>
      <c r="AJ7" s="1" t="s">
        <v>90</v>
      </c>
      <c r="AK7" s="11">
        <f>+AK6/main!B3</f>
        <v>133.81234687844068</v>
      </c>
    </row>
    <row r="8" spans="1:39" x14ac:dyDescent="0.2">
      <c r="A8" s="1" t="s">
        <v>35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25.478000000000002</v>
      </c>
      <c r="M8" s="7">
        <v>27.81</v>
      </c>
      <c r="N8" s="7">
        <v>27.795000000000002</v>
      </c>
      <c r="O8" s="7">
        <v>27.423999999999999</v>
      </c>
      <c r="P8" s="7">
        <v>27.782</v>
      </c>
      <c r="Q8" s="7">
        <v>27.471</v>
      </c>
      <c r="R8" s="7">
        <v>27.53</v>
      </c>
      <c r="S8" s="7">
        <v>27.119</v>
      </c>
      <c r="X8" s="7"/>
      <c r="Y8" s="7">
        <v>81.289000000000001</v>
      </c>
      <c r="Z8" s="7">
        <v>101.18600000000001</v>
      </c>
      <c r="AA8" s="7">
        <v>110.47199999999999</v>
      </c>
      <c r="AB8" s="7">
        <f>+AB5*0.199</f>
        <v>120.11720396000001</v>
      </c>
      <c r="AC8" s="7">
        <f t="shared" ref="AC8:AH8" si="11">+AC5*0.199</f>
        <v>131.14640738720004</v>
      </c>
      <c r="AD8" s="7">
        <f t="shared" si="11"/>
        <v>145.43525574512006</v>
      </c>
      <c r="AE8" s="7">
        <f t="shared" si="11"/>
        <v>161.29389385313607</v>
      </c>
      <c r="AF8" s="7">
        <f t="shared" si="11"/>
        <v>178.89620927597417</v>
      </c>
      <c r="AG8" s="7">
        <f t="shared" si="11"/>
        <v>198.43550736559902</v>
      </c>
      <c r="AH8" s="7">
        <f t="shared" si="11"/>
        <v>220.12669652362965</v>
      </c>
    </row>
    <row r="9" spans="1:39" x14ac:dyDescent="0.2">
      <c r="A9" s="1" t="s">
        <v>36</v>
      </c>
      <c r="B9" s="7"/>
      <c r="C9" s="7"/>
      <c r="D9" s="7"/>
      <c r="E9" s="7"/>
      <c r="F9" s="7"/>
      <c r="G9" s="7"/>
      <c r="H9" s="7"/>
      <c r="I9" s="7"/>
      <c r="J9" s="7"/>
      <c r="K9" s="7"/>
      <c r="L9" s="7">
        <v>25.047000000000001</v>
      </c>
      <c r="M9" s="7">
        <v>28.302</v>
      </c>
      <c r="N9" s="7">
        <v>25.628</v>
      </c>
      <c r="O9" s="7">
        <v>26.241</v>
      </c>
      <c r="P9" s="7">
        <v>27.881</v>
      </c>
      <c r="Q9" s="7">
        <v>31.940999999999999</v>
      </c>
      <c r="R9" s="7">
        <v>29.408000000000001</v>
      </c>
      <c r="S9" s="7">
        <v>32.146000000000001</v>
      </c>
      <c r="X9" s="7"/>
      <c r="Y9" s="7">
        <v>76.486999999999995</v>
      </c>
      <c r="Z9" s="7">
        <v>97.221000000000004</v>
      </c>
      <c r="AA9" s="7">
        <v>111.691</v>
      </c>
      <c r="AB9" s="7">
        <f>+AB5*0.2</f>
        <v>120.72080800000002</v>
      </c>
      <c r="AC9" s="7">
        <f t="shared" ref="AC9:AH9" si="12">+AC5*0.2</f>
        <v>131.80543456000004</v>
      </c>
      <c r="AD9" s="7">
        <f t="shared" si="12"/>
        <v>146.16608617600005</v>
      </c>
      <c r="AE9" s="7">
        <f t="shared" si="12"/>
        <v>162.10441593280007</v>
      </c>
      <c r="AF9" s="7">
        <f t="shared" si="12"/>
        <v>179.79518520198408</v>
      </c>
      <c r="AG9" s="7">
        <f t="shared" si="12"/>
        <v>199.43267071919502</v>
      </c>
      <c r="AH9" s="7">
        <f t="shared" si="12"/>
        <v>221.23286082776849</v>
      </c>
      <c r="AJ9" s="12"/>
      <c r="AK9" s="13"/>
    </row>
    <row r="10" spans="1:39" x14ac:dyDescent="0.2">
      <c r="A10" s="1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>
        <v>15.698</v>
      </c>
      <c r="M10" s="7">
        <v>16.315999999999999</v>
      </c>
      <c r="N10" s="7">
        <v>15.128</v>
      </c>
      <c r="O10" s="7">
        <v>14.055</v>
      </c>
      <c r="P10" s="7">
        <v>15.999000000000001</v>
      </c>
      <c r="Q10" s="7">
        <v>16.559000000000001</v>
      </c>
      <c r="R10" s="7">
        <v>16.908000000000001</v>
      </c>
      <c r="S10" s="7">
        <v>14.96</v>
      </c>
      <c r="X10" s="7"/>
      <c r="Y10" s="7">
        <v>76.274000000000001</v>
      </c>
      <c r="Z10" s="7">
        <v>57.981000000000002</v>
      </c>
      <c r="AA10" s="7">
        <v>61.741</v>
      </c>
      <c r="AB10" s="7">
        <f>+AB5*0.11</f>
        <v>66.396444400000007</v>
      </c>
      <c r="AC10" s="7">
        <f t="shared" ref="AC10:AH10" si="13">+AC5*0.11</f>
        <v>72.492989008000009</v>
      </c>
      <c r="AD10" s="7">
        <f t="shared" si="13"/>
        <v>80.391347396800029</v>
      </c>
      <c r="AE10" s="7">
        <f t="shared" si="13"/>
        <v>89.157428763040031</v>
      </c>
      <c r="AF10" s="7">
        <f t="shared" si="13"/>
        <v>98.887351861091247</v>
      </c>
      <c r="AG10" s="7">
        <f t="shared" si="13"/>
        <v>109.68796889555725</v>
      </c>
      <c r="AH10" s="7">
        <f t="shared" si="13"/>
        <v>121.67807345527267</v>
      </c>
      <c r="AJ10" s="12"/>
      <c r="AK10" s="13"/>
    </row>
    <row r="11" spans="1:39" x14ac:dyDescent="0.2">
      <c r="A11" s="1" t="s">
        <v>38</v>
      </c>
      <c r="B11" s="7">
        <f t="shared" ref="B11:R11" si="14">+SUM(B8:B10)</f>
        <v>0</v>
      </c>
      <c r="C11" s="7">
        <f t="shared" si="14"/>
        <v>0</v>
      </c>
      <c r="D11" s="7">
        <f t="shared" si="14"/>
        <v>0</v>
      </c>
      <c r="E11" s="7">
        <f t="shared" si="14"/>
        <v>0</v>
      </c>
      <c r="F11" s="7">
        <f t="shared" si="14"/>
        <v>0</v>
      </c>
      <c r="G11" s="7">
        <f t="shared" si="14"/>
        <v>0</v>
      </c>
      <c r="H11" s="7">
        <f t="shared" si="14"/>
        <v>0</v>
      </c>
      <c r="I11" s="7">
        <f t="shared" si="14"/>
        <v>0</v>
      </c>
      <c r="J11" s="7">
        <f t="shared" si="14"/>
        <v>0</v>
      </c>
      <c r="K11" s="7">
        <f t="shared" si="14"/>
        <v>0</v>
      </c>
      <c r="L11" s="7">
        <f t="shared" si="14"/>
        <v>66.223000000000013</v>
      </c>
      <c r="M11" s="7">
        <f t="shared" si="14"/>
        <v>72.427999999999997</v>
      </c>
      <c r="N11" s="7">
        <f t="shared" si="14"/>
        <v>68.551000000000002</v>
      </c>
      <c r="O11" s="7">
        <f t="shared" si="14"/>
        <v>67.72</v>
      </c>
      <c r="P11" s="7">
        <f t="shared" si="14"/>
        <v>71.661999999999992</v>
      </c>
      <c r="Q11" s="7">
        <f t="shared" si="14"/>
        <v>75.971000000000004</v>
      </c>
      <c r="R11" s="7">
        <f t="shared" si="14"/>
        <v>73.846000000000004</v>
      </c>
      <c r="S11" s="7">
        <f>+SUM(S8:S10)</f>
        <v>74.224999999999994</v>
      </c>
      <c r="X11" s="7">
        <f t="shared" ref="X11:AC11" si="15">+SUM(X8:X10)</f>
        <v>0</v>
      </c>
      <c r="Y11" s="7">
        <f t="shared" si="15"/>
        <v>234.05</v>
      </c>
      <c r="Z11" s="7">
        <f t="shared" si="15"/>
        <v>256.38800000000003</v>
      </c>
      <c r="AA11" s="7">
        <f t="shared" si="15"/>
        <v>283.904</v>
      </c>
      <c r="AB11" s="7">
        <f t="shared" si="15"/>
        <v>307.23445636000002</v>
      </c>
      <c r="AC11" s="7">
        <f t="shared" si="15"/>
        <v>335.44483095520008</v>
      </c>
      <c r="AD11" s="7">
        <f t="shared" ref="AD11:AH11" si="16">+SUM(AD8:AD10)</f>
        <v>371.99268931792017</v>
      </c>
      <c r="AE11" s="7">
        <f t="shared" si="16"/>
        <v>412.55573854897614</v>
      </c>
      <c r="AF11" s="7">
        <f t="shared" si="16"/>
        <v>457.57874633904953</v>
      </c>
      <c r="AG11" s="7">
        <f t="shared" si="16"/>
        <v>507.55614698035129</v>
      </c>
      <c r="AH11" s="7">
        <f t="shared" si="16"/>
        <v>563.03763080667079</v>
      </c>
      <c r="AJ11" s="12"/>
      <c r="AK11" s="13"/>
    </row>
    <row r="12" spans="1:39" s="4" customFormat="1" x14ac:dyDescent="0.2">
      <c r="A12" s="4" t="s">
        <v>39</v>
      </c>
      <c r="B12" s="10">
        <f t="shared" ref="B12:R12" si="17">+B7-B11</f>
        <v>0</v>
      </c>
      <c r="C12" s="10">
        <f t="shared" si="17"/>
        <v>0</v>
      </c>
      <c r="D12" s="10">
        <f t="shared" si="17"/>
        <v>0</v>
      </c>
      <c r="E12" s="10">
        <f t="shared" si="17"/>
        <v>0</v>
      </c>
      <c r="F12" s="10">
        <f t="shared" si="17"/>
        <v>0</v>
      </c>
      <c r="G12" s="10">
        <f t="shared" si="17"/>
        <v>0</v>
      </c>
      <c r="H12" s="10">
        <f t="shared" si="17"/>
        <v>0</v>
      </c>
      <c r="I12" s="10">
        <f t="shared" si="17"/>
        <v>0</v>
      </c>
      <c r="J12" s="10">
        <f t="shared" si="17"/>
        <v>0</v>
      </c>
      <c r="K12" s="10">
        <f t="shared" si="17"/>
        <v>0</v>
      </c>
      <c r="L12" s="10">
        <f t="shared" si="17"/>
        <v>33.345999999999989</v>
      </c>
      <c r="M12" s="10">
        <f t="shared" si="17"/>
        <v>-100.176</v>
      </c>
      <c r="N12" s="10">
        <f t="shared" si="17"/>
        <v>35.177999999999983</v>
      </c>
      <c r="O12" s="10">
        <f t="shared" si="17"/>
        <v>42.826999999999998</v>
      </c>
      <c r="P12" s="10">
        <f t="shared" si="17"/>
        <v>43.594999999999985</v>
      </c>
      <c r="Q12" s="10">
        <f t="shared" si="17"/>
        <v>41.468999999999994</v>
      </c>
      <c r="R12" s="10">
        <f t="shared" si="17"/>
        <v>44.760999999999996</v>
      </c>
      <c r="S12" s="10">
        <f>+S7-S11</f>
        <v>48.068000000000012</v>
      </c>
      <c r="X12" s="10">
        <f t="shared" ref="X12:AC12" si="18">+X7-X11</f>
        <v>0</v>
      </c>
      <c r="Y12" s="10">
        <f t="shared" si="18"/>
        <v>87.68300000000005</v>
      </c>
      <c r="Z12" s="10">
        <f t="shared" si="18"/>
        <v>130.54699999999997</v>
      </c>
      <c r="AA12" s="10">
        <f t="shared" si="18"/>
        <v>163.06899999999996</v>
      </c>
      <c r="AB12" s="10">
        <f t="shared" si="18"/>
        <v>181.89805864000004</v>
      </c>
      <c r="AC12" s="10">
        <f t="shared" si="18"/>
        <v>201.67016771980008</v>
      </c>
      <c r="AD12" s="10">
        <f t="shared" ref="AD12:AH12" si="19">+AD7-AD11</f>
        <v>229.00127611895505</v>
      </c>
      <c r="AE12" s="10">
        <f t="shared" si="19"/>
        <v>259.69050541809611</v>
      </c>
      <c r="AF12" s="10">
        <f t="shared" si="19"/>
        <v>294.13341465364249</v>
      </c>
      <c r="AG12" s="10">
        <f t="shared" si="19"/>
        <v>332.77129687227546</v>
      </c>
      <c r="AH12" s="10">
        <f t="shared" si="19"/>
        <v>376.09642945550581</v>
      </c>
    </row>
    <row r="13" spans="1:39" x14ac:dyDescent="0.2">
      <c r="A13" s="1" t="s">
        <v>40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>
        <v>1.5680000000000001</v>
      </c>
      <c r="M13" s="7">
        <v>2.266</v>
      </c>
      <c r="N13" s="7">
        <v>2.3969999999999998</v>
      </c>
      <c r="O13" s="7">
        <v>3.8090000000000002</v>
      </c>
      <c r="P13" s="7">
        <v>5.1360000000000001</v>
      </c>
      <c r="Q13" s="7">
        <v>5.5629999999999997</v>
      </c>
      <c r="R13" s="7">
        <v>6.1230000000000002</v>
      </c>
      <c r="S13" s="7">
        <v>6.7030000000000003</v>
      </c>
      <c r="X13" s="7"/>
      <c r="Y13" s="7">
        <v>2.2869999999999999</v>
      </c>
      <c r="Z13" s="7">
        <v>5.1909999999999998</v>
      </c>
      <c r="AA13" s="7">
        <v>16.905000000000001</v>
      </c>
      <c r="AB13" s="7">
        <f>+AA35*$AM$2</f>
        <v>9.6980400000000007</v>
      </c>
      <c r="AC13" s="7">
        <f t="shared" ref="AC13:AH13" si="20">+AB35*$AM$2</f>
        <v>12.840216017696001</v>
      </c>
      <c r="AD13" s="7">
        <f t="shared" si="20"/>
        <v>16.358186310990938</v>
      </c>
      <c r="AE13" s="7">
        <f t="shared" si="20"/>
        <v>20.382081494842051</v>
      </c>
      <c r="AF13" s="7">
        <f t="shared" si="20"/>
        <v>24.975271920214237</v>
      </c>
      <c r="AG13" s="7">
        <f t="shared" si="20"/>
        <v>30.208654380025486</v>
      </c>
      <c r="AH13" s="7">
        <f t="shared" si="20"/>
        <v>36.161525580563222</v>
      </c>
    </row>
    <row r="14" spans="1:39" x14ac:dyDescent="0.2">
      <c r="A14" s="1" t="s">
        <v>48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-1.0760000000000001</v>
      </c>
      <c r="M14" s="7">
        <v>1.458</v>
      </c>
      <c r="N14" s="7">
        <v>-0.216</v>
      </c>
      <c r="O14" s="7">
        <v>-0.95899999999999996</v>
      </c>
      <c r="P14" s="7">
        <v>-0.70799999999999996</v>
      </c>
      <c r="Q14" s="7">
        <v>0.56000000000000005</v>
      </c>
      <c r="R14" s="7">
        <v>-1.399</v>
      </c>
      <c r="S14" s="7">
        <v>-0.58699999999999997</v>
      </c>
      <c r="X14" s="7"/>
      <c r="Y14" s="7">
        <v>-0.57299999999999995</v>
      </c>
      <c r="Z14" s="7">
        <v>-2.0379999999999998</v>
      </c>
      <c r="AA14" s="7">
        <v>-1.323</v>
      </c>
      <c r="AB14" s="7"/>
      <c r="AC14" s="7"/>
      <c r="AD14" s="7"/>
      <c r="AE14" s="7"/>
      <c r="AF14" s="7"/>
      <c r="AG14" s="7"/>
      <c r="AH14" s="7"/>
    </row>
    <row r="15" spans="1:39" x14ac:dyDescent="0.2">
      <c r="A15" s="1" t="s">
        <v>41</v>
      </c>
      <c r="B15" s="7">
        <f t="shared" ref="B15:R15" si="21">+B12+B13+B14</f>
        <v>0</v>
      </c>
      <c r="C15" s="7">
        <f t="shared" si="21"/>
        <v>0</v>
      </c>
      <c r="D15" s="7">
        <f t="shared" si="21"/>
        <v>0</v>
      </c>
      <c r="E15" s="7">
        <f t="shared" si="21"/>
        <v>0</v>
      </c>
      <c r="F15" s="7">
        <f t="shared" si="21"/>
        <v>0</v>
      </c>
      <c r="G15" s="7">
        <f t="shared" si="21"/>
        <v>0</v>
      </c>
      <c r="H15" s="7">
        <f t="shared" si="21"/>
        <v>0</v>
      </c>
      <c r="I15" s="7">
        <f t="shared" si="21"/>
        <v>0</v>
      </c>
      <c r="J15" s="7">
        <f t="shared" si="21"/>
        <v>0</v>
      </c>
      <c r="K15" s="7">
        <f t="shared" si="21"/>
        <v>0</v>
      </c>
      <c r="L15" s="7">
        <f t="shared" si="21"/>
        <v>33.837999999999987</v>
      </c>
      <c r="M15" s="7">
        <f t="shared" si="21"/>
        <v>-96.451999999999998</v>
      </c>
      <c r="N15" s="7">
        <f t="shared" si="21"/>
        <v>37.35899999999998</v>
      </c>
      <c r="O15" s="7">
        <f t="shared" si="21"/>
        <v>45.676999999999992</v>
      </c>
      <c r="P15" s="7">
        <f t="shared" si="21"/>
        <v>48.022999999999989</v>
      </c>
      <c r="Q15" s="7">
        <f t="shared" si="21"/>
        <v>47.591999999999999</v>
      </c>
      <c r="R15" s="7">
        <f t="shared" si="21"/>
        <v>49.484999999999992</v>
      </c>
      <c r="S15" s="7">
        <f>+S12+S13+S14</f>
        <v>54.184000000000012</v>
      </c>
      <c r="X15" s="7">
        <f t="shared" ref="X15:AC15" si="22">+X12+X13+X14</f>
        <v>0</v>
      </c>
      <c r="Y15" s="7">
        <f t="shared" si="22"/>
        <v>89.397000000000062</v>
      </c>
      <c r="Z15" s="7">
        <f t="shared" si="22"/>
        <v>133.69999999999996</v>
      </c>
      <c r="AA15" s="7">
        <f t="shared" si="22"/>
        <v>178.65099999999995</v>
      </c>
      <c r="AB15" s="7">
        <f t="shared" si="22"/>
        <v>191.59609864000004</v>
      </c>
      <c r="AC15" s="7">
        <f t="shared" si="22"/>
        <v>214.51038373749608</v>
      </c>
      <c r="AD15" s="7">
        <f t="shared" ref="AD15:AH15" si="23">+AD12+AD13+AD14</f>
        <v>245.35946242994598</v>
      </c>
      <c r="AE15" s="7">
        <f t="shared" si="23"/>
        <v>280.07258691293816</v>
      </c>
      <c r="AF15" s="7">
        <f t="shared" si="23"/>
        <v>319.10868657385674</v>
      </c>
      <c r="AG15" s="7">
        <f t="shared" si="23"/>
        <v>362.97995125230096</v>
      </c>
      <c r="AH15" s="7">
        <f t="shared" si="23"/>
        <v>412.25795503606901</v>
      </c>
    </row>
    <row r="16" spans="1:39" x14ac:dyDescent="0.2">
      <c r="A16" s="1" t="s">
        <v>42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6.1779999999999999</v>
      </c>
      <c r="M16" s="7">
        <v>6.0709999999999997</v>
      </c>
      <c r="N16" s="7">
        <v>8.2539999999999996</v>
      </c>
      <c r="O16" s="7">
        <v>10.295</v>
      </c>
      <c r="P16" s="7">
        <v>1.508</v>
      </c>
      <c r="Q16" s="7">
        <v>6.9989999999999997</v>
      </c>
      <c r="R16" s="7">
        <v>9.7539999999999996</v>
      </c>
      <c r="S16" s="7">
        <v>10.412000000000001</v>
      </c>
      <c r="X16" s="7"/>
      <c r="Y16" s="7">
        <v>18.472999999999999</v>
      </c>
      <c r="Z16" s="7">
        <v>25.707999999999998</v>
      </c>
      <c r="AA16" s="7">
        <v>27.056000000000001</v>
      </c>
      <c r="AB16" s="7">
        <f>+AB15*0.18</f>
        <v>34.487297755200004</v>
      </c>
      <c r="AC16" s="7">
        <f t="shared" ref="AC16:AH16" si="24">+AC15*0.18</f>
        <v>38.611869072749293</v>
      </c>
      <c r="AD16" s="7">
        <f t="shared" si="24"/>
        <v>44.164703237390277</v>
      </c>
      <c r="AE16" s="7">
        <f t="shared" si="24"/>
        <v>50.413065644328867</v>
      </c>
      <c r="AF16" s="7">
        <f t="shared" si="24"/>
        <v>57.439563583294209</v>
      </c>
      <c r="AG16" s="7">
        <f t="shared" si="24"/>
        <v>65.336391225414175</v>
      </c>
      <c r="AH16" s="7">
        <f t="shared" si="24"/>
        <v>74.206431906492412</v>
      </c>
    </row>
    <row r="17" spans="1:86" s="10" customFormat="1" x14ac:dyDescent="0.2">
      <c r="A17" s="4" t="s">
        <v>43</v>
      </c>
      <c r="B17" s="10">
        <f t="shared" ref="B17:R17" si="25">+B15-B16</f>
        <v>0</v>
      </c>
      <c r="C17" s="10">
        <f t="shared" si="25"/>
        <v>0</v>
      </c>
      <c r="D17" s="10">
        <f t="shared" si="25"/>
        <v>0</v>
      </c>
      <c r="E17" s="10">
        <f t="shared" si="25"/>
        <v>0</v>
      </c>
      <c r="F17" s="10">
        <f t="shared" si="25"/>
        <v>0</v>
      </c>
      <c r="G17" s="10">
        <f t="shared" si="25"/>
        <v>0</v>
      </c>
      <c r="H17" s="10">
        <f t="shared" si="25"/>
        <v>0</v>
      </c>
      <c r="I17" s="10">
        <f t="shared" si="25"/>
        <v>0</v>
      </c>
      <c r="J17" s="10">
        <f t="shared" si="25"/>
        <v>0</v>
      </c>
      <c r="K17" s="10">
        <f t="shared" si="25"/>
        <v>0</v>
      </c>
      <c r="L17" s="10">
        <f t="shared" si="25"/>
        <v>27.659999999999986</v>
      </c>
      <c r="M17" s="10">
        <f t="shared" si="25"/>
        <v>-102.523</v>
      </c>
      <c r="N17" s="10">
        <f t="shared" si="25"/>
        <v>29.104999999999983</v>
      </c>
      <c r="O17" s="10">
        <f t="shared" si="25"/>
        <v>35.381999999999991</v>
      </c>
      <c r="P17" s="10">
        <f t="shared" si="25"/>
        <v>46.514999999999986</v>
      </c>
      <c r="Q17" s="10">
        <f t="shared" si="25"/>
        <v>40.592999999999996</v>
      </c>
      <c r="R17" s="10">
        <f t="shared" si="25"/>
        <v>39.730999999999995</v>
      </c>
      <c r="S17" s="10">
        <f t="shared" ref="S17" si="26">+S15-S16</f>
        <v>43.772000000000013</v>
      </c>
      <c r="T17" s="1"/>
      <c r="U17" s="1"/>
      <c r="V17" s="1"/>
      <c r="W17" s="1"/>
      <c r="X17" s="10">
        <f t="shared" ref="X17:AC17" si="27">+X15-X16</f>
        <v>0</v>
      </c>
      <c r="Y17" s="10">
        <f t="shared" si="27"/>
        <v>70.924000000000063</v>
      </c>
      <c r="Z17" s="10">
        <f t="shared" si="27"/>
        <v>107.99199999999996</v>
      </c>
      <c r="AA17" s="10">
        <f t="shared" si="27"/>
        <v>151.59499999999994</v>
      </c>
      <c r="AB17" s="10">
        <f t="shared" si="27"/>
        <v>157.10880088480002</v>
      </c>
      <c r="AC17" s="10">
        <f t="shared" si="27"/>
        <v>175.89851466474678</v>
      </c>
      <c r="AD17" s="10">
        <f t="shared" ref="AD17" si="28">+AD15-AD16</f>
        <v>201.19475919255569</v>
      </c>
      <c r="AE17" s="10">
        <f t="shared" ref="AE17" si="29">+AE15-AE16</f>
        <v>229.6595212686093</v>
      </c>
      <c r="AF17" s="10">
        <f t="shared" ref="AF17" si="30">+AF15-AF16</f>
        <v>261.66912299056253</v>
      </c>
      <c r="AG17" s="10">
        <f t="shared" ref="AG17" si="31">+AG15-AG16</f>
        <v>297.6435600268868</v>
      </c>
      <c r="AH17" s="10">
        <f t="shared" ref="AH17" si="32">+AH15-AH16</f>
        <v>338.05152312957659</v>
      </c>
      <c r="AI17" s="10">
        <f>+AH17*(1+$AK$3)</f>
        <v>344.81255359216811</v>
      </c>
      <c r="AJ17" s="10">
        <f>+AI17*(1+$AK$3)</f>
        <v>351.7088046640115</v>
      </c>
      <c r="AK17" s="10">
        <f t="shared" ref="AK17:CH17" si="33">+AJ17*(1+$AK$3)</f>
        <v>358.74298075729172</v>
      </c>
      <c r="AL17" s="10">
        <f t="shared" si="33"/>
        <v>365.91784037243758</v>
      </c>
      <c r="AM17" s="10">
        <f t="shared" si="33"/>
        <v>373.23619717988635</v>
      </c>
      <c r="AN17" s="10">
        <f t="shared" si="33"/>
        <v>380.70092112348408</v>
      </c>
      <c r="AO17" s="10">
        <f t="shared" si="33"/>
        <v>388.31493954595379</v>
      </c>
      <c r="AP17" s="10">
        <f t="shared" si="33"/>
        <v>396.0812383368729</v>
      </c>
      <c r="AQ17" s="10">
        <f t="shared" si="33"/>
        <v>404.00286310361037</v>
      </c>
      <c r="AR17" s="10">
        <f t="shared" si="33"/>
        <v>412.08292036568258</v>
      </c>
      <c r="AS17" s="10">
        <f t="shared" si="33"/>
        <v>420.32457877299623</v>
      </c>
      <c r="AT17" s="10">
        <f t="shared" si="33"/>
        <v>428.73107034845617</v>
      </c>
      <c r="AU17" s="10">
        <f t="shared" si="33"/>
        <v>437.3056917554253</v>
      </c>
      <c r="AV17" s="10">
        <f t="shared" si="33"/>
        <v>446.05180559053383</v>
      </c>
      <c r="AW17" s="10">
        <f t="shared" si="33"/>
        <v>454.97284170234451</v>
      </c>
      <c r="AX17" s="10">
        <f t="shared" si="33"/>
        <v>464.07229853639143</v>
      </c>
      <c r="AY17" s="10">
        <f t="shared" si="33"/>
        <v>473.35374450711925</v>
      </c>
      <c r="AZ17" s="10">
        <f t="shared" si="33"/>
        <v>482.82081939726163</v>
      </c>
      <c r="BA17" s="10">
        <f t="shared" si="33"/>
        <v>492.47723578520686</v>
      </c>
      <c r="BB17" s="10">
        <f t="shared" si="33"/>
        <v>502.32678050091101</v>
      </c>
      <c r="BC17" s="10">
        <f t="shared" si="33"/>
        <v>512.3733161109293</v>
      </c>
      <c r="BD17" s="10">
        <f t="shared" si="33"/>
        <v>522.62078243314784</v>
      </c>
      <c r="BE17" s="10">
        <f t="shared" si="33"/>
        <v>533.0731980818108</v>
      </c>
      <c r="BF17" s="10">
        <f t="shared" si="33"/>
        <v>543.73466204344697</v>
      </c>
      <c r="BG17" s="10">
        <f t="shared" si="33"/>
        <v>554.60935528431594</v>
      </c>
      <c r="BH17" s="10">
        <f t="shared" si="33"/>
        <v>565.70154239000226</v>
      </c>
      <c r="BI17" s="10">
        <f t="shared" si="33"/>
        <v>577.0155732378023</v>
      </c>
      <c r="BJ17" s="10">
        <f t="shared" si="33"/>
        <v>588.55588470255839</v>
      </c>
      <c r="BK17" s="10">
        <f t="shared" si="33"/>
        <v>600.3270023966096</v>
      </c>
      <c r="BL17" s="10">
        <f t="shared" si="33"/>
        <v>612.33354244454176</v>
      </c>
      <c r="BM17" s="10">
        <f t="shared" si="33"/>
        <v>624.58021329343262</v>
      </c>
      <c r="BN17" s="10">
        <f t="shared" si="33"/>
        <v>637.07181755930128</v>
      </c>
      <c r="BO17" s="10">
        <f t="shared" si="33"/>
        <v>649.81325391048733</v>
      </c>
      <c r="BP17" s="10">
        <f t="shared" si="33"/>
        <v>662.80951898869705</v>
      </c>
      <c r="BQ17" s="10">
        <f t="shared" si="33"/>
        <v>676.06570936847095</v>
      </c>
      <c r="BR17" s="10">
        <f t="shared" si="33"/>
        <v>689.58702355584035</v>
      </c>
      <c r="BS17" s="10">
        <f t="shared" si="33"/>
        <v>703.37876402695713</v>
      </c>
      <c r="BT17" s="10">
        <f t="shared" si="33"/>
        <v>717.44633930749626</v>
      </c>
      <c r="BU17" s="10">
        <f t="shared" si="33"/>
        <v>731.79526609364621</v>
      </c>
      <c r="BV17" s="10">
        <f t="shared" si="33"/>
        <v>746.43117141551909</v>
      </c>
      <c r="BW17" s="10">
        <f t="shared" si="33"/>
        <v>761.35979484382949</v>
      </c>
      <c r="BX17" s="10">
        <f t="shared" si="33"/>
        <v>776.58699074070614</v>
      </c>
      <c r="BY17" s="10">
        <f t="shared" si="33"/>
        <v>792.1187305555203</v>
      </c>
      <c r="BZ17" s="10">
        <f t="shared" si="33"/>
        <v>807.96110516663077</v>
      </c>
      <c r="CA17" s="10">
        <f t="shared" si="33"/>
        <v>824.12032726996335</v>
      </c>
      <c r="CB17" s="10">
        <f t="shared" si="33"/>
        <v>840.60273381536263</v>
      </c>
      <c r="CC17" s="10">
        <f t="shared" si="33"/>
        <v>857.41478849166992</v>
      </c>
      <c r="CD17" s="10">
        <f t="shared" si="33"/>
        <v>874.56308426150338</v>
      </c>
      <c r="CE17" s="10">
        <f t="shared" si="33"/>
        <v>892.05434594673341</v>
      </c>
      <c r="CF17" s="10">
        <f t="shared" si="33"/>
        <v>909.89543286566811</v>
      </c>
      <c r="CG17" s="10">
        <f t="shared" si="33"/>
        <v>928.09334152298152</v>
      </c>
      <c r="CH17" s="10">
        <f t="shared" si="33"/>
        <v>946.65520835344114</v>
      </c>
    </row>
    <row r="18" spans="1:86" x14ac:dyDescent="0.2">
      <c r="A18" s="1" t="s">
        <v>44</v>
      </c>
      <c r="L18" s="7">
        <v>39.22</v>
      </c>
      <c r="M18" s="7">
        <v>38.479999999999997</v>
      </c>
      <c r="N18" s="1">
        <v>37.668999999999997</v>
      </c>
      <c r="O18" s="1">
        <v>37.435000000000002</v>
      </c>
      <c r="P18" s="7">
        <v>37.448</v>
      </c>
      <c r="Q18" s="7">
        <v>37.747999999999998</v>
      </c>
      <c r="R18" s="7">
        <v>37.722999999999999</v>
      </c>
      <c r="S18" s="1">
        <v>37.463999999999999</v>
      </c>
      <c r="Y18" s="7">
        <v>40.118000000000002</v>
      </c>
      <c r="Z18" s="7">
        <v>39.344000000000001</v>
      </c>
      <c r="AA18" s="7">
        <v>37.601999999999997</v>
      </c>
      <c r="AB18" s="14">
        <f>+AA18*0.98</f>
        <v>36.849959999999996</v>
      </c>
      <c r="AC18" s="14">
        <f t="shared" ref="AC18:AH18" si="34">+AB18*0.98</f>
        <v>36.112960799999996</v>
      </c>
      <c r="AD18" s="14">
        <f t="shared" si="34"/>
        <v>35.390701583999999</v>
      </c>
      <c r="AE18" s="14">
        <f t="shared" si="34"/>
        <v>34.682887552319997</v>
      </c>
      <c r="AF18" s="14">
        <f t="shared" si="34"/>
        <v>33.989229801273595</v>
      </c>
      <c r="AG18" s="14">
        <f t="shared" si="34"/>
        <v>33.309445205248124</v>
      </c>
      <c r="AH18" s="14">
        <f t="shared" si="34"/>
        <v>32.643256301143161</v>
      </c>
      <c r="AJ18" s="14"/>
    </row>
    <row r="19" spans="1:86" x14ac:dyDescent="0.2">
      <c r="A19" s="1" t="s">
        <v>45</v>
      </c>
      <c r="B19" s="11" t="e">
        <f t="shared" ref="B19:R19" si="35">+B17/B18</f>
        <v>#DIV/0!</v>
      </c>
      <c r="C19" s="11" t="e">
        <f t="shared" si="35"/>
        <v>#DIV/0!</v>
      </c>
      <c r="D19" s="11" t="e">
        <f t="shared" si="35"/>
        <v>#DIV/0!</v>
      </c>
      <c r="E19" s="11" t="e">
        <f t="shared" si="35"/>
        <v>#DIV/0!</v>
      </c>
      <c r="F19" s="11" t="e">
        <f t="shared" si="35"/>
        <v>#DIV/0!</v>
      </c>
      <c r="G19" s="11" t="e">
        <f t="shared" si="35"/>
        <v>#DIV/0!</v>
      </c>
      <c r="H19" s="11" t="e">
        <f t="shared" si="35"/>
        <v>#DIV/0!</v>
      </c>
      <c r="I19" s="11" t="e">
        <f t="shared" si="35"/>
        <v>#DIV/0!</v>
      </c>
      <c r="J19" s="11" t="e">
        <f t="shared" si="35"/>
        <v>#DIV/0!</v>
      </c>
      <c r="K19" s="11" t="e">
        <f t="shared" si="35"/>
        <v>#DIV/0!</v>
      </c>
      <c r="L19" s="11">
        <f t="shared" si="35"/>
        <v>0.705252422233554</v>
      </c>
      <c r="M19" s="11">
        <f t="shared" si="35"/>
        <v>-2.6643191268191271</v>
      </c>
      <c r="N19" s="11">
        <f t="shared" si="35"/>
        <v>0.77265125169237259</v>
      </c>
      <c r="O19" s="11">
        <f t="shared" si="35"/>
        <v>0.94515827434219279</v>
      </c>
      <c r="P19" s="11">
        <f t="shared" si="35"/>
        <v>1.2421224097415078</v>
      </c>
      <c r="Q19" s="11">
        <f t="shared" si="35"/>
        <v>1.0753682314294797</v>
      </c>
      <c r="R19" s="11">
        <f t="shared" si="35"/>
        <v>1.0532301248575138</v>
      </c>
      <c r="S19" s="11">
        <f>+S17/S18</f>
        <v>1.1683749733077091</v>
      </c>
      <c r="X19" s="11" t="e">
        <f t="shared" ref="X19:AC19" si="36">+X17/X18</f>
        <v>#DIV/0!</v>
      </c>
      <c r="Y19" s="11">
        <f t="shared" si="36"/>
        <v>1.7678847400169515</v>
      </c>
      <c r="Z19" s="11">
        <f t="shared" si="36"/>
        <v>2.7448149654331018</v>
      </c>
      <c r="AA19" s="11">
        <f t="shared" si="36"/>
        <v>4.0315674698154345</v>
      </c>
      <c r="AB19" s="11">
        <f t="shared" si="36"/>
        <v>4.2634727659080234</v>
      </c>
      <c r="AC19" s="11">
        <f t="shared" si="36"/>
        <v>4.8707862985509296</v>
      </c>
      <c r="AD19" s="11">
        <f t="shared" ref="AD19:AH19" si="37">+AD17/AD18</f>
        <v>5.6849610261333465</v>
      </c>
      <c r="AE19" s="11">
        <f t="shared" si="37"/>
        <v>6.6216955241158111</v>
      </c>
      <c r="AF19" s="11">
        <f t="shared" si="37"/>
        <v>7.6985893625856052</v>
      </c>
      <c r="AG19" s="11">
        <f t="shared" si="37"/>
        <v>8.9357105227315845</v>
      </c>
      <c r="AH19" s="11">
        <f t="shared" si="37"/>
        <v>10.355937533037661</v>
      </c>
      <c r="AJ19" s="11"/>
    </row>
    <row r="21" spans="1:86" x14ac:dyDescent="0.2">
      <c r="A21" s="1" t="s">
        <v>49</v>
      </c>
      <c r="F21" s="8" t="e">
        <f t="shared" ref="F21:R22" si="38">+F2/B2-1</f>
        <v>#DIV/0!</v>
      </c>
      <c r="G21" s="8" t="e">
        <f t="shared" si="38"/>
        <v>#DIV/0!</v>
      </c>
      <c r="H21" s="8" t="e">
        <f t="shared" si="38"/>
        <v>#DIV/0!</v>
      </c>
      <c r="I21" s="8" t="e">
        <f t="shared" si="38"/>
        <v>#DIV/0!</v>
      </c>
      <c r="J21" s="8" t="e">
        <f t="shared" si="38"/>
        <v>#DIV/0!</v>
      </c>
      <c r="K21" s="8" t="e">
        <f t="shared" si="38"/>
        <v>#DIV/0!</v>
      </c>
      <c r="L21" s="8" t="e">
        <f t="shared" si="38"/>
        <v>#DIV/0!</v>
      </c>
      <c r="M21" s="8" t="e">
        <f t="shared" si="38"/>
        <v>#DIV/0!</v>
      </c>
      <c r="N21" s="8" t="e">
        <f t="shared" si="38"/>
        <v>#DIV/0!</v>
      </c>
      <c r="O21" s="8" t="e">
        <f t="shared" si="38"/>
        <v>#DIV/0!</v>
      </c>
      <c r="P21" s="8">
        <f t="shared" si="38"/>
        <v>0.10336083774226257</v>
      </c>
      <c r="Q21" s="8" t="e">
        <f t="shared" si="38"/>
        <v>#DIV/0!</v>
      </c>
      <c r="R21" s="8">
        <f t="shared" si="38"/>
        <v>6.7023557455421878E-2</v>
      </c>
      <c r="S21" s="8">
        <f>+S2/O2-1</f>
        <v>1.8840873912050471E-2</v>
      </c>
      <c r="X21" s="8" t="e">
        <f>+X2/T2-1</f>
        <v>#DIV/0!</v>
      </c>
      <c r="Y21" s="8" t="e">
        <f t="shared" ref="Y21" si="39">+Y2/X2-1</f>
        <v>#DIV/0!</v>
      </c>
      <c r="Z21" s="8">
        <f t="shared" ref="Z21" si="40">+Z2/Y2-1</f>
        <v>0.17253450238096213</v>
      </c>
      <c r="AA21" s="8">
        <f>+AA2/Z2-1</f>
        <v>0.10374165154074189</v>
      </c>
      <c r="AB21" s="8">
        <f t="shared" ref="AB21:AH21" si="41">+AB2/AA2-1</f>
        <v>8.0000000000000071E-2</v>
      </c>
      <c r="AC21" s="8">
        <f t="shared" si="41"/>
        <v>7.0000000000000062E-2</v>
      </c>
      <c r="AD21" s="8">
        <f t="shared" si="41"/>
        <v>0.10000000000000009</v>
      </c>
      <c r="AE21" s="8">
        <f t="shared" si="41"/>
        <v>0.10000000000000009</v>
      </c>
      <c r="AF21" s="8">
        <f t="shared" si="41"/>
        <v>0.10000000000000009</v>
      </c>
      <c r="AG21" s="8">
        <f t="shared" si="41"/>
        <v>0.10000000000000009</v>
      </c>
      <c r="AH21" s="8">
        <f t="shared" si="41"/>
        <v>0.10000000000000009</v>
      </c>
    </row>
    <row r="22" spans="1:86" x14ac:dyDescent="0.2">
      <c r="A22" s="1" t="s">
        <v>50</v>
      </c>
      <c r="F22" s="8" t="e">
        <f t="shared" si="38"/>
        <v>#DIV/0!</v>
      </c>
      <c r="G22" s="8" t="e">
        <f t="shared" si="38"/>
        <v>#DIV/0!</v>
      </c>
      <c r="H22" s="8" t="e">
        <f t="shared" si="38"/>
        <v>#DIV/0!</v>
      </c>
      <c r="I22" s="8" t="e">
        <f t="shared" si="38"/>
        <v>#DIV/0!</v>
      </c>
      <c r="J22" s="8" t="e">
        <f t="shared" si="38"/>
        <v>#DIV/0!</v>
      </c>
      <c r="K22" s="8" t="e">
        <f t="shared" si="38"/>
        <v>#DIV/0!</v>
      </c>
      <c r="L22" s="8" t="e">
        <f t="shared" si="38"/>
        <v>#DIV/0!</v>
      </c>
      <c r="M22" s="8" t="e">
        <f t="shared" si="38"/>
        <v>#DIV/0!</v>
      </c>
      <c r="N22" s="8" t="e">
        <f t="shared" si="38"/>
        <v>#DIV/0!</v>
      </c>
      <c r="O22" s="8" t="e">
        <f t="shared" si="38"/>
        <v>#DIV/0!</v>
      </c>
      <c r="P22" s="8">
        <f t="shared" si="38"/>
        <v>0.16907780925042304</v>
      </c>
      <c r="Q22" s="8" t="e">
        <f t="shared" si="38"/>
        <v>#DIV/0!</v>
      </c>
      <c r="R22" s="8">
        <f t="shared" si="38"/>
        <v>0.18148947652455472</v>
      </c>
      <c r="S22" s="8">
        <f t="shared" ref="S22" si="42">+S3/O3-1</f>
        <v>0.17149903238512798</v>
      </c>
      <c r="X22" s="8" t="e">
        <f t="shared" ref="X22" si="43">+X3/T3-1</f>
        <v>#DIV/0!</v>
      </c>
      <c r="Y22" s="8" t="e">
        <f t="shared" ref="Y22" si="44">+Y3/X3-1</f>
        <v>#DIV/0!</v>
      </c>
      <c r="Z22" s="8">
        <f t="shared" ref="Z22:AA22" si="45">+Z3/Y3-1</f>
        <v>0.21788858227591601</v>
      </c>
      <c r="AA22" s="8">
        <f t="shared" si="45"/>
        <v>0.17191361498671331</v>
      </c>
      <c r="AB22" s="8">
        <f t="shared" ref="AB22:AH22" si="46">+AB3/AA3-1</f>
        <v>0.10000000000000009</v>
      </c>
      <c r="AC22" s="8">
        <f t="shared" si="46"/>
        <v>0.12000000000000011</v>
      </c>
      <c r="AD22" s="8">
        <f t="shared" si="46"/>
        <v>0.12000000000000011</v>
      </c>
      <c r="AE22" s="8">
        <f t="shared" si="46"/>
        <v>0.12000000000000011</v>
      </c>
      <c r="AF22" s="8">
        <f t="shared" si="46"/>
        <v>0.12000000000000011</v>
      </c>
      <c r="AG22" s="8">
        <f t="shared" si="46"/>
        <v>0.12000000000000011</v>
      </c>
      <c r="AH22" s="8">
        <f t="shared" si="46"/>
        <v>0.12000000000000011</v>
      </c>
    </row>
    <row r="23" spans="1:86" x14ac:dyDescent="0.2">
      <c r="A23" s="1" t="s">
        <v>59</v>
      </c>
      <c r="N23" s="8" t="e">
        <f t="shared" ref="N23:R23" si="47">+N5/J5-1</f>
        <v>#DIV/0!</v>
      </c>
      <c r="O23" s="8" t="e">
        <f t="shared" si="47"/>
        <v>#DIV/0!</v>
      </c>
      <c r="P23" s="8">
        <f t="shared" si="47"/>
        <v>0.13089255421667545</v>
      </c>
      <c r="Q23" s="8" t="e">
        <f t="shared" si="47"/>
        <v>#DIV/0!</v>
      </c>
      <c r="R23" s="8">
        <f t="shared" si="47"/>
        <v>0.11571512744580414</v>
      </c>
      <c r="S23" s="8">
        <f>+S5/O5-1</f>
        <v>8.3806455844733119E-2</v>
      </c>
      <c r="X23" s="8" t="e">
        <f t="shared" ref="X23:Z23" si="48">+X5/W5-1</f>
        <v>#DIV/0!</v>
      </c>
      <c r="Y23" s="8" t="e">
        <f t="shared" si="48"/>
        <v>#DIV/0!</v>
      </c>
      <c r="Z23" s="8">
        <f t="shared" si="48"/>
        <v>0.19104170517447683</v>
      </c>
      <c r="AA23" s="8">
        <f>+AA5/Z5-1</f>
        <v>0.13218697100197452</v>
      </c>
      <c r="AB23" s="8">
        <f t="shared" ref="AB23:AH23" si="49">+AB5/AA5-1</f>
        <v>8.8637985203568359E-2</v>
      </c>
      <c r="AC23" s="8">
        <f t="shared" si="49"/>
        <v>9.1820347657050272E-2</v>
      </c>
      <c r="AD23" s="8">
        <f t="shared" si="49"/>
        <v>0.10895341048674911</v>
      </c>
      <c r="AE23" s="8">
        <f t="shared" si="49"/>
        <v>0.10904259786780179</v>
      </c>
      <c r="AF23" s="8">
        <f t="shared" si="49"/>
        <v>0.1091319392342629</v>
      </c>
      <c r="AG23" s="8">
        <f t="shared" si="49"/>
        <v>0.10922142044654826</v>
      </c>
      <c r="AH23" s="8">
        <f t="shared" si="49"/>
        <v>0.10931102727530817</v>
      </c>
    </row>
    <row r="25" spans="1:86" x14ac:dyDescent="0.2">
      <c r="A25" s="1" t="s">
        <v>51</v>
      </c>
      <c r="B25" s="15" t="e">
        <f t="shared" ref="B25:R25" si="50">+B7/B5</f>
        <v>#DIV/0!</v>
      </c>
      <c r="C25" s="15" t="e">
        <f t="shared" si="50"/>
        <v>#DIV/0!</v>
      </c>
      <c r="D25" s="15" t="e">
        <f t="shared" si="50"/>
        <v>#DIV/0!</v>
      </c>
      <c r="E25" s="15" t="e">
        <f t="shared" si="50"/>
        <v>#DIV/0!</v>
      </c>
      <c r="F25" s="15" t="e">
        <f t="shared" si="50"/>
        <v>#DIV/0!</v>
      </c>
      <c r="G25" s="15" t="e">
        <f t="shared" si="50"/>
        <v>#DIV/0!</v>
      </c>
      <c r="H25" s="15" t="e">
        <f t="shared" si="50"/>
        <v>#DIV/0!</v>
      </c>
      <c r="I25" s="15" t="e">
        <f t="shared" si="50"/>
        <v>#DIV/0!</v>
      </c>
      <c r="J25" s="15" t="e">
        <f t="shared" si="50"/>
        <v>#DIV/0!</v>
      </c>
      <c r="K25" s="15" t="e">
        <f t="shared" si="50"/>
        <v>#DIV/0!</v>
      </c>
      <c r="L25" s="15">
        <f t="shared" si="50"/>
        <v>0.79299304720414776</v>
      </c>
      <c r="M25" s="15" t="e">
        <f t="shared" si="50"/>
        <v>#DIV/0!</v>
      </c>
      <c r="N25" s="15">
        <f t="shared" si="50"/>
        <v>0.79374516960890085</v>
      </c>
      <c r="O25" s="15">
        <f t="shared" si="50"/>
        <v>0.80568330065812011</v>
      </c>
      <c r="P25" s="15">
        <f t="shared" si="50"/>
        <v>0.81169187864446879</v>
      </c>
      <c r="Q25" s="15">
        <f t="shared" si="50"/>
        <v>0.81234004288579931</v>
      </c>
      <c r="R25" s="15">
        <f t="shared" si="50"/>
        <v>0.81346318713350019</v>
      </c>
      <c r="S25" s="15">
        <f>+S7/S5</f>
        <v>0.8223700137181591</v>
      </c>
      <c r="X25" s="15" t="e">
        <f>+X7/X5</f>
        <v>#DIV/0!</v>
      </c>
      <c r="Y25" s="15">
        <f>+Y7/Y5</f>
        <v>0.78247789246349475</v>
      </c>
      <c r="Z25" s="15">
        <f>+Z7/Z5</f>
        <v>0.79010991928089958</v>
      </c>
      <c r="AA25" s="15">
        <f>+AA7/AA5</f>
        <v>0.80614401812220216</v>
      </c>
      <c r="AB25" s="15">
        <f t="shared" ref="AB25:AH25" si="51">+AB7/AB5</f>
        <v>0.81035328226100012</v>
      </c>
      <c r="AC25" s="15">
        <f t="shared" si="51"/>
        <v>0.81501191581064358</v>
      </c>
      <c r="AD25" s="15">
        <f t="shared" si="51"/>
        <v>0.82234392554400393</v>
      </c>
      <c r="AE25" s="15">
        <f t="shared" si="51"/>
        <v>0.82939905134447423</v>
      </c>
      <c r="AF25" s="15">
        <f t="shared" si="51"/>
        <v>0.83618719839267053</v>
      </c>
      <c r="AG25" s="15">
        <f t="shared" si="51"/>
        <v>0.84271793665725292</v>
      </c>
      <c r="AH25" s="15">
        <f t="shared" si="51"/>
        <v>0.84900051172171909</v>
      </c>
    </row>
    <row r="26" spans="1:86" x14ac:dyDescent="0.2">
      <c r="A26" s="1" t="s">
        <v>52</v>
      </c>
      <c r="B26" s="15" t="e">
        <f t="shared" ref="B26:R26" si="52">+B12/B5</f>
        <v>#DIV/0!</v>
      </c>
      <c r="C26" s="15" t="e">
        <f t="shared" si="52"/>
        <v>#DIV/0!</v>
      </c>
      <c r="D26" s="15" t="e">
        <f t="shared" si="52"/>
        <v>#DIV/0!</v>
      </c>
      <c r="E26" s="15" t="e">
        <f t="shared" si="52"/>
        <v>#DIV/0!</v>
      </c>
      <c r="F26" s="15" t="e">
        <f t="shared" si="52"/>
        <v>#DIV/0!</v>
      </c>
      <c r="G26" s="15" t="e">
        <f t="shared" si="52"/>
        <v>#DIV/0!</v>
      </c>
      <c r="H26" s="15" t="e">
        <f t="shared" si="52"/>
        <v>#DIV/0!</v>
      </c>
      <c r="I26" s="15" t="e">
        <f t="shared" si="52"/>
        <v>#DIV/0!</v>
      </c>
      <c r="J26" s="15" t="e">
        <f t="shared" si="52"/>
        <v>#DIV/0!</v>
      </c>
      <c r="K26" s="15" t="e">
        <f t="shared" si="52"/>
        <v>#DIV/0!</v>
      </c>
      <c r="L26" s="15">
        <f t="shared" si="52"/>
        <v>0.26557609448793801</v>
      </c>
      <c r="M26" s="15" t="e">
        <f t="shared" si="52"/>
        <v>#DIV/0!</v>
      </c>
      <c r="N26" s="15">
        <f t="shared" si="52"/>
        <v>0.26918573953765973</v>
      </c>
      <c r="O26" s="15">
        <f t="shared" si="52"/>
        <v>0.31212967079418985</v>
      </c>
      <c r="P26" s="15">
        <f t="shared" si="52"/>
        <v>0.30701569058283323</v>
      </c>
      <c r="Q26" s="15">
        <f t="shared" si="52"/>
        <v>0.2868437435152521</v>
      </c>
      <c r="R26" s="15">
        <f t="shared" si="52"/>
        <v>0.3069922156304653</v>
      </c>
      <c r="S26" s="15">
        <f>+S12/S5</f>
        <v>0.32323748554213633</v>
      </c>
      <c r="X26" s="15" t="e">
        <f>+X12/X5</f>
        <v>#DIV/0!</v>
      </c>
      <c r="Y26" s="15">
        <f>+Y12/Y5</f>
        <v>0.21325138871323934</v>
      </c>
      <c r="Z26" s="15">
        <f>+Z12/Z5</f>
        <v>0.26657314441020735</v>
      </c>
      <c r="AA26" s="15">
        <f>+AA12/AA5</f>
        <v>0.29410523430088475</v>
      </c>
      <c r="AB26" s="15">
        <f t="shared" ref="AB26:AH26" si="53">+AB12/AB5</f>
        <v>0.30135328226100017</v>
      </c>
      <c r="AC26" s="15">
        <f t="shared" si="53"/>
        <v>0.30601191581064352</v>
      </c>
      <c r="AD26" s="15">
        <f t="shared" si="53"/>
        <v>0.31334392554400387</v>
      </c>
      <c r="AE26" s="15">
        <f t="shared" si="53"/>
        <v>0.32039905134447427</v>
      </c>
      <c r="AF26" s="15">
        <f t="shared" si="53"/>
        <v>0.32718719839267046</v>
      </c>
      <c r="AG26" s="15">
        <f t="shared" si="53"/>
        <v>0.33371793665725291</v>
      </c>
      <c r="AH26" s="15">
        <f t="shared" si="53"/>
        <v>0.34000051172171913</v>
      </c>
    </row>
    <row r="27" spans="1:86" x14ac:dyDescent="0.2">
      <c r="A27" s="1" t="s">
        <v>53</v>
      </c>
      <c r="B27" s="15" t="e">
        <f t="shared" ref="B27:R27" si="54">+B17/B5</f>
        <v>#DIV/0!</v>
      </c>
      <c r="C27" s="15" t="e">
        <f t="shared" si="54"/>
        <v>#DIV/0!</v>
      </c>
      <c r="D27" s="15" t="e">
        <f t="shared" si="54"/>
        <v>#DIV/0!</v>
      </c>
      <c r="E27" s="15" t="e">
        <f t="shared" si="54"/>
        <v>#DIV/0!</v>
      </c>
      <c r="F27" s="15" t="e">
        <f t="shared" si="54"/>
        <v>#DIV/0!</v>
      </c>
      <c r="G27" s="15" t="e">
        <f t="shared" si="54"/>
        <v>#DIV/0!</v>
      </c>
      <c r="H27" s="15" t="e">
        <f t="shared" si="54"/>
        <v>#DIV/0!</v>
      </c>
      <c r="I27" s="15" t="e">
        <f t="shared" si="54"/>
        <v>#DIV/0!</v>
      </c>
      <c r="J27" s="15" t="e">
        <f t="shared" si="54"/>
        <v>#DIV/0!</v>
      </c>
      <c r="K27" s="15" t="e">
        <f t="shared" si="54"/>
        <v>#DIV/0!</v>
      </c>
      <c r="L27" s="15">
        <f t="shared" si="54"/>
        <v>0.22029133249974103</v>
      </c>
      <c r="M27" s="15" t="e">
        <f t="shared" si="54"/>
        <v>#DIV/0!</v>
      </c>
      <c r="N27" s="15">
        <f t="shared" si="54"/>
        <v>0.22271450762532222</v>
      </c>
      <c r="O27" s="15">
        <f t="shared" si="54"/>
        <v>0.25786938174609531</v>
      </c>
      <c r="P27" s="15">
        <f t="shared" si="54"/>
        <v>0.32757965013098955</v>
      </c>
      <c r="Q27" s="15">
        <f t="shared" si="54"/>
        <v>0.28078439510271841</v>
      </c>
      <c r="R27" s="15">
        <f t="shared" si="54"/>
        <v>0.27249408456500113</v>
      </c>
      <c r="S27" s="15">
        <f>+S17/S5</f>
        <v>0.29434865642736108</v>
      </c>
      <c r="X27" s="15" t="e">
        <f>+X17/X5</f>
        <v>#DIV/0!</v>
      </c>
      <c r="Y27" s="15">
        <f>+Y17/Y5</f>
        <v>0.17249229033105382</v>
      </c>
      <c r="Z27" s="15">
        <f>+Z17/Z5</f>
        <v>0.22051649606001753</v>
      </c>
      <c r="AA27" s="15">
        <f>+AA17/AA5</f>
        <v>0.27341115107005393</v>
      </c>
      <c r="AB27" s="15">
        <f t="shared" ref="AB27:AH27" si="55">+AB17/AB5</f>
        <v>0.26028454164223286</v>
      </c>
      <c r="AC27" s="15">
        <f t="shared" si="55"/>
        <v>0.26690631574022822</v>
      </c>
      <c r="AD27" s="15">
        <f t="shared" si="55"/>
        <v>0.27529608879353185</v>
      </c>
      <c r="AE27" s="15">
        <f t="shared" si="55"/>
        <v>0.28334764348901392</v>
      </c>
      <c r="AF27" s="15">
        <f t="shared" si="55"/>
        <v>0.29107467221282962</v>
      </c>
      <c r="AG27" s="15">
        <f t="shared" si="55"/>
        <v>0.29849027138183853</v>
      </c>
      <c r="AH27" s="15">
        <f t="shared" si="55"/>
        <v>0.30560697164491524</v>
      </c>
    </row>
    <row r="29" spans="1:86" x14ac:dyDescent="0.2">
      <c r="A29" s="1" t="s">
        <v>54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>
        <f>155.01-K29-J29</f>
        <v>155.01</v>
      </c>
      <c r="M29" s="16">
        <f>198.854-L29-K29-J29</f>
        <v>43.844000000000023</v>
      </c>
      <c r="N29" s="16">
        <v>66.813000000000002</v>
      </c>
      <c r="O29" s="16">
        <f>118.328-N29</f>
        <v>51.515000000000001</v>
      </c>
      <c r="P29" s="16">
        <f>210.766-N29-O29</f>
        <v>92.437999999999974</v>
      </c>
      <c r="Q29" s="16">
        <f>244.605-N29-O29-P29</f>
        <v>33.838999999999999</v>
      </c>
      <c r="R29" s="16">
        <v>85.504999999999995</v>
      </c>
      <c r="S29" s="16">
        <f>135.239-R29</f>
        <v>49.734000000000009</v>
      </c>
      <c r="Y29" s="16">
        <v>200.61600000000001</v>
      </c>
      <c r="Z29" s="16">
        <v>198.85400000000001</v>
      </c>
      <c r="AA29" s="16">
        <v>244.60499999999999</v>
      </c>
    </row>
    <row r="30" spans="1:86" x14ac:dyDescent="0.2">
      <c r="A30" s="1" t="s">
        <v>55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>
        <f>12.391-J30-K30</f>
        <v>12.391</v>
      </c>
      <c r="M30" s="16">
        <f>15.361-L30-K30-J30</f>
        <v>2.9700000000000006</v>
      </c>
      <c r="N30" s="16">
        <v>4.0369999999999999</v>
      </c>
      <c r="O30" s="16">
        <f>5.455-N30</f>
        <v>1.4180000000000001</v>
      </c>
      <c r="P30" s="16">
        <f>7.263-N30-O30</f>
        <v>1.8079999999999998</v>
      </c>
      <c r="Q30" s="16">
        <f>8.786-N30-O30-P30</f>
        <v>1.5229999999999997</v>
      </c>
      <c r="R30" s="16">
        <v>2.0510000000000002</v>
      </c>
      <c r="S30" s="16">
        <f>3.077-R30</f>
        <v>1.0259999999999998</v>
      </c>
      <c r="Y30" s="16">
        <v>24.423999999999999</v>
      </c>
      <c r="Z30" s="16">
        <v>15.361000000000001</v>
      </c>
      <c r="AA30" s="16">
        <v>8.8759999999999994</v>
      </c>
    </row>
    <row r="31" spans="1:86" x14ac:dyDescent="0.2">
      <c r="A31" s="4" t="s">
        <v>56</v>
      </c>
      <c r="B31" s="17">
        <f t="shared" ref="B31:R31" si="56">+B29-B30</f>
        <v>0</v>
      </c>
      <c r="C31" s="17">
        <f t="shared" si="56"/>
        <v>0</v>
      </c>
      <c r="D31" s="17">
        <f t="shared" si="56"/>
        <v>0</v>
      </c>
      <c r="E31" s="17">
        <f t="shared" si="56"/>
        <v>0</v>
      </c>
      <c r="F31" s="17">
        <f t="shared" si="56"/>
        <v>0</v>
      </c>
      <c r="G31" s="17">
        <f t="shared" si="56"/>
        <v>0</v>
      </c>
      <c r="H31" s="17">
        <f t="shared" si="56"/>
        <v>0</v>
      </c>
      <c r="I31" s="17">
        <f t="shared" si="56"/>
        <v>0</v>
      </c>
      <c r="J31" s="17">
        <f t="shared" si="56"/>
        <v>0</v>
      </c>
      <c r="K31" s="17">
        <f t="shared" si="56"/>
        <v>0</v>
      </c>
      <c r="L31" s="17">
        <f t="shared" si="56"/>
        <v>142.619</v>
      </c>
      <c r="M31" s="17">
        <f t="shared" si="56"/>
        <v>40.874000000000024</v>
      </c>
      <c r="N31" s="17">
        <f t="shared" si="56"/>
        <v>62.776000000000003</v>
      </c>
      <c r="O31" s="17">
        <f t="shared" si="56"/>
        <v>50.097000000000001</v>
      </c>
      <c r="P31" s="17">
        <f t="shared" si="56"/>
        <v>90.629999999999967</v>
      </c>
      <c r="Q31" s="17">
        <f t="shared" si="56"/>
        <v>32.316000000000003</v>
      </c>
      <c r="R31" s="17">
        <f t="shared" si="56"/>
        <v>83.453999999999994</v>
      </c>
      <c r="S31" s="17">
        <f>+S29-S30</f>
        <v>48.708000000000013</v>
      </c>
      <c r="Y31" s="17">
        <f>+Y29-Y30</f>
        <v>176.19200000000001</v>
      </c>
      <c r="Z31" s="17">
        <f t="shared" ref="Z31:AA31" si="57">+Z29-Z30</f>
        <v>183.49300000000002</v>
      </c>
      <c r="AA31" s="17">
        <f t="shared" si="57"/>
        <v>235.72899999999998</v>
      </c>
    </row>
    <row r="33" spans="1:34" x14ac:dyDescent="0.2">
      <c r="A33" s="1" t="s">
        <v>61</v>
      </c>
      <c r="O33" s="16">
        <f t="shared" ref="O33:R33" si="58">+SUM(L31:O31)</f>
        <v>296.36600000000004</v>
      </c>
      <c r="P33" s="16">
        <f t="shared" si="58"/>
        <v>244.37700000000001</v>
      </c>
      <c r="Q33" s="16">
        <f t="shared" si="58"/>
        <v>235.81899999999999</v>
      </c>
      <c r="R33" s="16">
        <f t="shared" si="58"/>
        <v>256.49699999999996</v>
      </c>
      <c r="S33" s="16">
        <f>+SUM(P31:S31)</f>
        <v>255.108</v>
      </c>
      <c r="U33" s="18">
        <f>+S33/main!B7</f>
        <v>6.4172701551877431E-2</v>
      </c>
    </row>
    <row r="35" spans="1:34" x14ac:dyDescent="0.2">
      <c r="A35" s="1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f>203.665+1.5+221.893+56.644+1.2</f>
        <v>484.90199999999999</v>
      </c>
      <c r="P35" s="2"/>
      <c r="Q35" s="2"/>
      <c r="R35" s="2"/>
      <c r="S35" s="2">
        <f>281.205+112.004+162.058+1.2</f>
        <v>556.4670000000001</v>
      </c>
      <c r="Z35" s="1">
        <f>173.719+147.608+59.206+2.7</f>
        <v>383.233</v>
      </c>
      <c r="AA35" s="1">
        <f>203.665+1.5+221.893+56.644+1.2</f>
        <v>484.90199999999999</v>
      </c>
      <c r="AB35" s="7">
        <f>+AA35+AB17</f>
        <v>642.01080088480001</v>
      </c>
      <c r="AC35" s="7">
        <f t="shared" ref="AC35:AH35" si="59">+AB35+AC17</f>
        <v>817.90931554954682</v>
      </c>
      <c r="AD35" s="7">
        <f t="shared" si="59"/>
        <v>1019.1040747421025</v>
      </c>
      <c r="AE35" s="7">
        <f t="shared" si="59"/>
        <v>1248.7635960107118</v>
      </c>
      <c r="AF35" s="7">
        <f t="shared" si="59"/>
        <v>1510.4327190012743</v>
      </c>
      <c r="AG35" s="7">
        <f t="shared" si="59"/>
        <v>1808.076279028161</v>
      </c>
      <c r="AH35" s="7">
        <f t="shared" si="59"/>
        <v>2146.1278021577377</v>
      </c>
    </row>
    <row r="37" spans="1:34" x14ac:dyDescent="0.2">
      <c r="A37" s="1" t="s">
        <v>58</v>
      </c>
      <c r="M37" s="1">
        <f>317.344-L37-K37-J37</f>
        <v>317.34399999999999</v>
      </c>
      <c r="N37" s="1">
        <v>66.551000000000002</v>
      </c>
      <c r="O37" s="1">
        <f>108.817-N37</f>
        <v>42.265999999999991</v>
      </c>
      <c r="P37" s="1">
        <f>147.725-N37-O37</f>
        <v>38.908000000000001</v>
      </c>
      <c r="Q37" s="1">
        <f>170.8-P37-O37-N37</f>
        <v>23.075000000000003</v>
      </c>
      <c r="R37" s="1">
        <v>18.029</v>
      </c>
      <c r="S37" s="1">
        <f>53.017-R37</f>
        <v>34.988</v>
      </c>
      <c r="Y37" s="1">
        <v>129.977</v>
      </c>
      <c r="Z37" s="1">
        <v>317.34399999999999</v>
      </c>
      <c r="AA37" s="1">
        <v>170.8</v>
      </c>
    </row>
    <row r="38" spans="1:34" x14ac:dyDescent="0.2">
      <c r="A38" s="1" t="s">
        <v>60</v>
      </c>
      <c r="Y38" s="8">
        <f>+Y37/Y31</f>
        <v>0.73770091718125685</v>
      </c>
      <c r="Z38" s="8">
        <f>+Z37/Z31</f>
        <v>1.7294610693595938</v>
      </c>
      <c r="AA38" s="8">
        <f t="shared" ref="AA38" si="60">+AA37/AA31</f>
        <v>0.72456083044512987</v>
      </c>
    </row>
    <row r="40" spans="1:34" x14ac:dyDescent="0.2">
      <c r="A40" s="1" t="s">
        <v>63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alexandreduartemorais@gmail.com</cp:lastModifiedBy>
  <dcterms:created xsi:type="dcterms:W3CDTF">2024-08-15T10:14:46Z</dcterms:created>
  <dcterms:modified xsi:type="dcterms:W3CDTF">2024-08-21T21:09:54Z</dcterms:modified>
</cp:coreProperties>
</file>