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decc0a7aee32c85f/Ambiente de Trabalho/models/"/>
    </mc:Choice>
  </mc:AlternateContent>
  <xr:revisionPtr revIDLastSave="151" documentId="8_{040CD3F3-6C82-4376-B701-22938CFC14D7}" xr6:coauthVersionLast="47" xr6:coauthVersionMax="47" xr10:uidLastSave="{7E73BF4C-D532-42F3-9E27-06CCF7E8CA74}"/>
  <bookViews>
    <workbookView xWindow="14295" yWindow="0" windowWidth="14610" windowHeight="15585" activeTab="1" xr2:uid="{194601B3-6DBD-4449-8C76-201D79974913}"/>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7" i="2" l="1"/>
  <c r="AA25" i="2"/>
  <c r="Z25" i="2"/>
  <c r="Y25" i="2"/>
  <c r="X25" i="2"/>
  <c r="AA52" i="2"/>
  <c r="AA50" i="2"/>
  <c r="AD19" i="2"/>
  <c r="AH18" i="2"/>
  <c r="AG18" i="2"/>
  <c r="Y18" i="2"/>
  <c r="AH8" i="2"/>
  <c r="AG8" i="2"/>
  <c r="AG9" i="2" s="1"/>
  <c r="AG11" i="2" s="1"/>
  <c r="AG13" i="2" s="1"/>
  <c r="AG15" i="2" s="1"/>
  <c r="AH4" i="2"/>
  <c r="AH9" i="2" s="1"/>
  <c r="AG4" i="2"/>
  <c r="Z1" i="2"/>
  <c r="AA1" i="2" s="1"/>
  <c r="AB1" i="2" s="1"/>
  <c r="AC1" i="2" s="1"/>
  <c r="AD1" i="2" s="1"/>
  <c r="AE1" i="2" s="1"/>
  <c r="AF1" i="2" s="1"/>
  <c r="AG1" i="2" s="1"/>
  <c r="AH1" i="2" s="1"/>
  <c r="Y1" i="2"/>
  <c r="AF8" i="2"/>
  <c r="AE8" i="2"/>
  <c r="AD8" i="2"/>
  <c r="AC8" i="2"/>
  <c r="AB8" i="2"/>
  <c r="AA8" i="2"/>
  <c r="Z8" i="2"/>
  <c r="Y8" i="2"/>
  <c r="X8" i="2"/>
  <c r="AF4" i="2"/>
  <c r="AE4" i="2"/>
  <c r="AD4" i="2"/>
  <c r="AD9" i="2" s="1"/>
  <c r="AD11" i="2" s="1"/>
  <c r="AD13" i="2" s="1"/>
  <c r="AD15" i="2" s="1"/>
  <c r="AC4" i="2"/>
  <c r="AC9" i="2" s="1"/>
  <c r="AC11" i="2" s="1"/>
  <c r="AC13" i="2" s="1"/>
  <c r="AC15" i="2" s="1"/>
  <c r="AB4" i="2"/>
  <c r="AB9" i="2" s="1"/>
  <c r="AA4" i="2"/>
  <c r="AA18" i="2" s="1"/>
  <c r="Z4" i="2"/>
  <c r="Y4" i="2"/>
  <c r="Y9" i="2" s="1"/>
  <c r="Y11" i="2" s="1"/>
  <c r="Y13" i="2" s="1"/>
  <c r="Y15" i="2" s="1"/>
  <c r="X4" i="2"/>
  <c r="R18" i="2"/>
  <c r="O23" i="2"/>
  <c r="R17" i="2"/>
  <c r="O24" i="2"/>
  <c r="R25" i="2"/>
  <c r="Q25" i="2"/>
  <c r="P25" i="2"/>
  <c r="N25" i="2"/>
  <c r="M25" i="2"/>
  <c r="L25" i="2"/>
  <c r="K25" i="2"/>
  <c r="J25" i="2"/>
  <c r="I25" i="2"/>
  <c r="H25" i="2"/>
  <c r="G25" i="2"/>
  <c r="F25" i="2"/>
  <c r="E25" i="2"/>
  <c r="D25" i="2"/>
  <c r="C25" i="2"/>
  <c r="B25" i="2"/>
  <c r="S24" i="2"/>
  <c r="S29" i="2"/>
  <c r="O29" i="2"/>
  <c r="O44" i="2"/>
  <c r="O46" i="2" s="1"/>
  <c r="O36" i="2"/>
  <c r="O40" i="2" s="1"/>
  <c r="S44" i="2"/>
  <c r="S46" i="2" s="1"/>
  <c r="S36" i="2"/>
  <c r="S40" i="2" s="1"/>
  <c r="O27" i="2"/>
  <c r="O22" i="2"/>
  <c r="S27" i="2"/>
  <c r="S23" i="2"/>
  <c r="S22" i="2"/>
  <c r="S17" i="2"/>
  <c r="U8" i="2"/>
  <c r="T8" i="2"/>
  <c r="R8" i="2"/>
  <c r="Q8" i="2"/>
  <c r="P8" i="2"/>
  <c r="O8" i="2"/>
  <c r="N8" i="2"/>
  <c r="M8" i="2"/>
  <c r="L8" i="2"/>
  <c r="K8" i="2"/>
  <c r="J8" i="2"/>
  <c r="I8" i="2"/>
  <c r="H8" i="2"/>
  <c r="G8" i="2"/>
  <c r="F8" i="2"/>
  <c r="E8" i="2"/>
  <c r="D8" i="2"/>
  <c r="C8" i="2"/>
  <c r="B8" i="2"/>
  <c r="S8" i="2"/>
  <c r="U4" i="2"/>
  <c r="T4" i="2"/>
  <c r="R4" i="2"/>
  <c r="Q4" i="2"/>
  <c r="Q9" i="2" s="1"/>
  <c r="Q11" i="2" s="1"/>
  <c r="Q13" i="2" s="1"/>
  <c r="Q15" i="2" s="1"/>
  <c r="P4" i="2"/>
  <c r="P18" i="2" s="1"/>
  <c r="O4" i="2"/>
  <c r="O18" i="2" s="1"/>
  <c r="N4" i="2"/>
  <c r="N18" i="2" s="1"/>
  <c r="M4" i="2"/>
  <c r="L4" i="2"/>
  <c r="K4" i="2"/>
  <c r="J4" i="2"/>
  <c r="I4" i="2"/>
  <c r="I9" i="2" s="1"/>
  <c r="I11" i="2" s="1"/>
  <c r="I13" i="2" s="1"/>
  <c r="I15" i="2" s="1"/>
  <c r="H4" i="2"/>
  <c r="G4" i="2"/>
  <c r="F4" i="2"/>
  <c r="E4" i="2"/>
  <c r="D4" i="2"/>
  <c r="C4" i="2"/>
  <c r="B4" i="2"/>
  <c r="S4" i="2"/>
  <c r="S9" i="2" s="1"/>
  <c r="S11" i="2" s="1"/>
  <c r="S13" i="2" s="1"/>
  <c r="S15" i="2" s="1"/>
  <c r="B7" i="1"/>
  <c r="B6" i="1"/>
  <c r="B4" i="1"/>
  <c r="Z9" i="2" l="1"/>
  <c r="Z19" i="2" s="1"/>
  <c r="Z18" i="2"/>
  <c r="AH11" i="2"/>
  <c r="AH13" i="2" s="1"/>
  <c r="AH19" i="2"/>
  <c r="AB11" i="2"/>
  <c r="AB13" i="2" s="1"/>
  <c r="AB19" i="2"/>
  <c r="S18" i="2"/>
  <c r="S19" i="2"/>
  <c r="AE9" i="2"/>
  <c r="AC20" i="2"/>
  <c r="S20" i="2"/>
  <c r="X9" i="2"/>
  <c r="AF9" i="2"/>
  <c r="AB18" i="2"/>
  <c r="Y19" i="2"/>
  <c r="AG19" i="2"/>
  <c r="AD20" i="2"/>
  <c r="Q20" i="2"/>
  <c r="Q19" i="2"/>
  <c r="AC18" i="2"/>
  <c r="D9" i="2"/>
  <c r="D11" i="2" s="1"/>
  <c r="D13" i="2" s="1"/>
  <c r="D15" i="2" s="1"/>
  <c r="E9" i="2"/>
  <c r="E11" i="2" s="1"/>
  <c r="E13" i="2" s="1"/>
  <c r="E15" i="2" s="1"/>
  <c r="AD18" i="2"/>
  <c r="U9" i="2"/>
  <c r="U11" i="2" s="1"/>
  <c r="U13" i="2" s="1"/>
  <c r="U15" i="2" s="1"/>
  <c r="AA9" i="2"/>
  <c r="AE18" i="2"/>
  <c r="Y20" i="2"/>
  <c r="AG20" i="2"/>
  <c r="L9" i="2"/>
  <c r="L11" i="2" s="1"/>
  <c r="L13" i="2" s="1"/>
  <c r="L15" i="2" s="1"/>
  <c r="S47" i="2"/>
  <c r="Q18" i="2"/>
  <c r="X18" i="2"/>
  <c r="AF18" i="2"/>
  <c r="AC19" i="2"/>
  <c r="B9" i="2"/>
  <c r="B11" i="2" s="1"/>
  <c r="B13" i="2" s="1"/>
  <c r="B15" i="2" s="1"/>
  <c r="J9" i="2"/>
  <c r="J11" i="2" s="1"/>
  <c r="J13" i="2" s="1"/>
  <c r="J15" i="2" s="1"/>
  <c r="G9" i="2"/>
  <c r="G11" i="2" s="1"/>
  <c r="G13" i="2" s="1"/>
  <c r="G15" i="2" s="1"/>
  <c r="H9" i="2"/>
  <c r="H11" i="2" s="1"/>
  <c r="H13" i="2" s="1"/>
  <c r="H15" i="2" s="1"/>
  <c r="P9" i="2"/>
  <c r="O25" i="2"/>
  <c r="S25" i="2"/>
  <c r="R9" i="2"/>
  <c r="M9" i="2"/>
  <c r="M11" i="2" s="1"/>
  <c r="M13" i="2" s="1"/>
  <c r="M15" i="2" s="1"/>
  <c r="T9" i="2"/>
  <c r="T11" i="2" s="1"/>
  <c r="T13" i="2" s="1"/>
  <c r="T15" i="2" s="1"/>
  <c r="K9" i="2"/>
  <c r="K11" i="2" s="1"/>
  <c r="K13" i="2" s="1"/>
  <c r="K15" i="2" s="1"/>
  <c r="C9" i="2"/>
  <c r="C11" i="2" s="1"/>
  <c r="C13" i="2" s="1"/>
  <c r="C15" i="2" s="1"/>
  <c r="F9" i="2"/>
  <c r="F11" i="2" s="1"/>
  <c r="F13" i="2" s="1"/>
  <c r="F15" i="2" s="1"/>
  <c r="N9" i="2"/>
  <c r="O47" i="2"/>
  <c r="O9" i="2"/>
  <c r="Z11" i="2" l="1"/>
  <c r="Z13" i="2" s="1"/>
  <c r="Z15" i="2" s="1"/>
  <c r="X11" i="2"/>
  <c r="X13" i="2" s="1"/>
  <c r="X19" i="2"/>
  <c r="N11" i="2"/>
  <c r="N13" i="2" s="1"/>
  <c r="N19" i="2"/>
  <c r="AB15" i="2"/>
  <c r="AB20" i="2"/>
  <c r="O11" i="2"/>
  <c r="O13" i="2" s="1"/>
  <c r="O19" i="2"/>
  <c r="R11" i="2"/>
  <c r="R13" i="2" s="1"/>
  <c r="R19" i="2"/>
  <c r="P11" i="2"/>
  <c r="P13" i="2" s="1"/>
  <c r="P19" i="2"/>
  <c r="AF11" i="2"/>
  <c r="AF13" i="2" s="1"/>
  <c r="AF19" i="2"/>
  <c r="AA11" i="2"/>
  <c r="AA13" i="2" s="1"/>
  <c r="AA19" i="2"/>
  <c r="AE11" i="2"/>
  <c r="AE13" i="2" s="1"/>
  <c r="AE19" i="2"/>
  <c r="AH15" i="2"/>
  <c r="AH20" i="2"/>
  <c r="Z20" i="2" l="1"/>
  <c r="R15" i="2"/>
  <c r="R20" i="2"/>
  <c r="N15" i="2"/>
  <c r="N20" i="2"/>
  <c r="AE15" i="2"/>
  <c r="AE20" i="2"/>
  <c r="AF15" i="2"/>
  <c r="AF20" i="2"/>
  <c r="P15" i="2"/>
  <c r="P20" i="2"/>
  <c r="AA15" i="2"/>
  <c r="AA20" i="2"/>
  <c r="O15" i="2"/>
  <c r="O20" i="2"/>
  <c r="X15" i="2"/>
  <c r="X20" i="2"/>
</calcChain>
</file>

<file path=xl/sharedStrings.xml><?xml version="1.0" encoding="utf-8"?>
<sst xmlns="http://schemas.openxmlformats.org/spreadsheetml/2006/main" count="81" uniqueCount="80">
  <si>
    <t>Ticket</t>
  </si>
  <si>
    <t>price</t>
  </si>
  <si>
    <t>shares</t>
  </si>
  <si>
    <t>mc</t>
  </si>
  <si>
    <t>cash</t>
  </si>
  <si>
    <t>debt</t>
  </si>
  <si>
    <t>ev</t>
  </si>
  <si>
    <t>rdvt</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</si>
  <si>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</si>
  <si>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</si>
  <si>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</si>
  <si>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</si>
  <si>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</si>
  <si>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</si>
  <si>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</si>
  <si>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</si>
  <si>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</si>
  <si>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</si>
  <si>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</si>
  <si>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</si>
  <si>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</si>
  <si>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</si>
  <si>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</si>
  <si>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</si>
  <si>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</si>
  <si>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</si>
  <si>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</si>
  <si>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</si>
  <si>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Revenue</t>
  </si>
  <si>
    <t>COGS</t>
  </si>
  <si>
    <t>Gross Profit</t>
  </si>
  <si>
    <t>S&amp;M</t>
  </si>
  <si>
    <t>G&amp;A</t>
  </si>
  <si>
    <t>D&amp;A</t>
  </si>
  <si>
    <t>Total Opex</t>
  </si>
  <si>
    <t>Operating Income</t>
  </si>
  <si>
    <t>Interest Income</t>
  </si>
  <si>
    <t>Pretax Income</t>
  </si>
  <si>
    <t>Taxes</t>
  </si>
  <si>
    <t>Net Income</t>
  </si>
  <si>
    <t>Shares</t>
  </si>
  <si>
    <t>EPS</t>
  </si>
  <si>
    <t>Revenue Y/Y %</t>
  </si>
  <si>
    <t>CFFO</t>
  </si>
  <si>
    <t>CAPEX</t>
  </si>
  <si>
    <t>FCF</t>
  </si>
  <si>
    <t>SBC</t>
  </si>
  <si>
    <t>balance sheet</t>
  </si>
  <si>
    <t>Cash</t>
  </si>
  <si>
    <t>AR</t>
  </si>
  <si>
    <t>Prepaid expenses and OCA</t>
  </si>
  <si>
    <t>PPE</t>
  </si>
  <si>
    <t>Goodwill and Intagibles</t>
  </si>
  <si>
    <t>Right of use assets</t>
  </si>
  <si>
    <t>Deferred Taxes</t>
  </si>
  <si>
    <t>ONCA</t>
  </si>
  <si>
    <t>Total Assets</t>
  </si>
  <si>
    <t>AP</t>
  </si>
  <si>
    <t>Accrued expenses and OCL</t>
  </si>
  <si>
    <t>Deferred Revenue</t>
  </si>
  <si>
    <t>Debt</t>
  </si>
  <si>
    <t>Total Liabilities</t>
  </si>
  <si>
    <t>S/E</t>
  </si>
  <si>
    <t>Stock Buybacks</t>
  </si>
  <si>
    <t>Capitalized costs in intangibles</t>
  </si>
  <si>
    <t>Gross Margin %</t>
  </si>
  <si>
    <t>Operating Margin %</t>
  </si>
  <si>
    <t>Net Margin %</t>
  </si>
  <si>
    <t>Red Violet enable the real-time identification and location of people, businesses, assets, and their interrelationships. used for purposes including risk mitigation, due diligence, fraud detection and prevention, regulatory compliance, and customer acquisition</t>
  </si>
  <si>
    <t>Key Services and Products</t>
  </si>
  <si>
    <r>
      <t>-</t>
    </r>
    <r>
      <rPr>
        <b/>
        <sz val="11"/>
        <color theme="1"/>
        <rFont val="Aptos Narrow"/>
        <family val="2"/>
        <scheme val="minor"/>
      </rPr>
      <t>IDI (Interactive Data Intelligence</t>
    </r>
    <r>
      <rPr>
        <sz val="11"/>
        <color theme="1"/>
        <rFont val="Aptos Narrow"/>
        <family val="2"/>
        <scheme val="minor"/>
      </rPr>
      <t>)--&gt; provides actionable intelligence on individuals, businesses, and assets by analyzing vast datasets and integrating them into useful profiles and insights.This is used by companies for identity verification, due diligence, fraud detection, and people/asset locating.</t>
    </r>
  </si>
  <si>
    <r>
      <t>´-</t>
    </r>
    <r>
      <rPr>
        <b/>
        <sz val="11"/>
        <color theme="1"/>
        <rFont val="Aptos Narrow"/>
        <family val="2"/>
        <scheme val="minor"/>
      </rPr>
      <t>FOREWARN</t>
    </r>
    <r>
      <rPr>
        <sz val="11"/>
        <color theme="1"/>
        <rFont val="Aptos Narrow"/>
        <family val="2"/>
        <scheme val="minor"/>
      </rPr>
      <t xml:space="preserve"> --&gt; primarily for real estate professionals, this product offers instant identity verification and safety tools to assess potential risks. It helps protect agents by allowing them to verify the identity of clients before meeting them in person.</t>
    </r>
  </si>
  <si>
    <t>IDI customers</t>
  </si>
  <si>
    <t>FOREWARN users</t>
  </si>
  <si>
    <t>YoY %</t>
  </si>
  <si>
    <t>Business: Data Analytics SaaS</t>
  </si>
  <si>
    <t>Founded</t>
  </si>
  <si>
    <t>CEO</t>
  </si>
  <si>
    <t>employees</t>
  </si>
  <si>
    <t>Derek Dubner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</si>
</sst>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 ;_-[$$-409]* \-#,##0.00\ ;_-[$$-409]* &quot;-&quot;??_ ;_-@_ "/>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3" fontId="0" fillId="0" borderId="0" xfId="0" applyNumberFormat="1"/>
    <xf numFmtId="0" fontId="1" fillId="0" borderId="0" xfId="0" applyFont="1"/>
    <xf numFmtId="165" fontId="0" fillId="0" borderId="0" xfId="0" applyNumberFormat="1"/>
    <xf numFmtId="9" fontId="0" fillId="0" borderId="0" xfId="0" applyNumberFormat="1"/>
    <xf numFmtId="0" fontId="0" fillId="0" borderId="0" xfId="0" applyFont="1"/>
    <xf numFmtId="0" fontId="0" fillId="0" borderId="0" xfId="0" applyAlignment="1"/>
    <xf numFmtId="0" fontId="0" fillId="0" borderId="0" xfId="0" quotePrefix="1" applyAlignment="1">
      <alignment horizontal="left" vertical="top" wrapText="1"/>
    </xf>
    <xf numFmtId="0" fontId="0" fillId="0" borderId="0" xfId="0" applyAlignment="1">
      <alignment horizontal="center" wrapText="1"/>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19</xdr:col>
      <xdr:colOff>9525</xdr:colOff>
      <xdr:row>0</xdr:row>
      <xdr:rowOff>0</xdr:rowOff>
    </xdr:from>
    <xdr:to>
      <xdr:col>19</xdr:col>
      <xdr:colOff>19050</xdr:colOff>
      <xdr:row>65</xdr:row>
      <xdr:rowOff>0</xdr:rowOff>
    </xdr:to>
    <xdr:cxnSp macro="">
      <xdr:nvCxnSpPr>
        <xdr:cNvPr id="3" name="Straight Connector 2">
          <a:extLst>
            <a:ext uri="{FF2B5EF4-FFF2-40B4-BE49-F238E27FC236}">
              <a16:creationId xmlns:a16="http://schemas.microsoft.com/office/drawing/2014/main" id="{412EECCB-B547-941D-148F-1BE70C116F01}"/>
            </a:ext>
          </a:extLst>
        </xdr:cNvPr>
        <xdr:cNvCxnSpPr/>
      </xdr:nvCxnSpPr>
      <xdr:spPr>
        <a:xfrm>
          <a:off x="12106275" y="0"/>
          <a:ext cx="9525" cy="110490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63A0-9A7D-4DC4-AC20-FB14AD15F5DA}">
  <dimension ref="A1:J13"/>
  <sheetViews>
    <sheetView workbookViewId="0">
      <selection activeCell="G6" sqref="G6"/>
    </sheetView>
  </sheetViews>
  <sheetFormatPr defaultRowHeight="15" x14ac:dyDescent="0.25"/>
  <sheetData>
    <row r="1" spans="1:10" x14ac:dyDescent="0.25">
      <c r="A1" t="s">
        <v>0</v>
      </c>
      <c r="B1" t="s">
        <v>7</v>
      </c>
      <c r="D1" t="s">
        <v>76</v>
      </c>
      <c r="E1">
        <v>2017</v>
      </c>
    </row>
    <row r="2" spans="1:10" x14ac:dyDescent="0.25">
      <c r="A2" t="s">
        <v>1</v>
      </c>
      <c r="B2">
        <v>28.3</v>
      </c>
      <c r="D2" t="s">
        <v>75</v>
      </c>
    </row>
    <row r="3" spans="1:10" x14ac:dyDescent="0.25">
      <c r="A3" t="s">
        <v>2</v>
      </c>
      <c r="B3">
        <v>13.731515999999999</v>
      </c>
      <c r="D3" t="s">
        <v>77</v>
      </c>
      <c r="E3" t="s">
        <v>79</v>
      </c>
    </row>
    <row r="4" spans="1:10" x14ac:dyDescent="0.25">
      <c r="A4" t="s">
        <v>3</v>
      </c>
      <c r="B4" s="1">
        <f>+B2*B3</f>
        <v>388.6019028</v>
      </c>
      <c r="C4" s="9"/>
    </row>
    <row r="5" spans="1:10" x14ac:dyDescent="0.25">
      <c r="A5" t="s">
        <v>4</v>
      </c>
      <c r="B5" s="1">
        <v>30.943000000000001</v>
      </c>
    </row>
    <row r="6" spans="1:10" x14ac:dyDescent="0.25">
      <c r="A6" t="s">
        <v>5</v>
      </c>
      <c r="B6" s="1">
        <f>0.529+1.765</f>
        <v>2.294</v>
      </c>
    </row>
    <row r="7" spans="1:10" x14ac:dyDescent="0.25">
      <c r="A7" t="s">
        <v>6</v>
      </c>
      <c r="B7" s="1">
        <f>+B4-B5+B6</f>
        <v>359.9529028</v>
      </c>
    </row>
    <row r="9" spans="1:10" x14ac:dyDescent="0.25">
      <c r="A9" s="6" t="s">
        <v>68</v>
      </c>
    </row>
    <row r="11" spans="1:10" x14ac:dyDescent="0.25">
      <c r="A11" t="s">
        <v>69</v>
      </c>
    </row>
    <row r="12" spans="1:10" ht="46.5" customHeight="1" x14ac:dyDescent="0.25">
      <c r="A12" s="7" t="s">
        <v>70</v>
      </c>
      <c r="B12" s="7"/>
      <c r="C12" s="7"/>
      <c r="D12" s="7"/>
      <c r="E12" s="7"/>
      <c r="F12" s="7"/>
      <c r="G12" s="7"/>
      <c r="H12" s="7"/>
      <c r="I12" s="7"/>
      <c r="J12" s="7"/>
    </row>
    <row r="13" spans="1:10" ht="47.25" customHeight="1" x14ac:dyDescent="0.25">
      <c r="A13" s="8" t="s">
        <v>71</v>
      </c>
      <c r="B13" s="8"/>
      <c r="C13" s="8"/>
      <c r="D13" s="8"/>
      <c r="E13" s="8"/>
      <c r="F13" s="8"/>
      <c r="G13" s="8"/>
      <c r="H13" s="8"/>
      <c r="I13" s="8"/>
      <c r="J13" s="8"/>
    </row>
  </sheetData>
  <mergeCells count="2">
    <mergeCell ref="A12:J12"/>
    <mergeCell ref="A13:J13"/>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7178-B7F1-4682-A4D7-6F9D8D9602AD}">
  <dimension ref="A1:AH54"/>
  <sheetViews>
    <sheetView tabSelected="1" workbookViewId="0">
      <pane xSplit="1" ySplit="1" topLeftCell="S2" activePane="bottomRight" state="frozen"/>
      <selection pane="topRight" activeCell="B1" sqref="B1"/>
      <selection pane="bottomLeft" activeCell="A2" sqref="A2"/>
      <selection pane="bottomRight" activeCell="V19" sqref="V19"/>
    </sheetView>
  </sheetViews>
  <sheetFormatPr defaultRowHeight="15" x14ac:dyDescent="0.25"/>
  <cols>
    <col min="1" max="1" width="29" bestFit="1" customWidth="1"/>
    <col min="19" max="19" width="9.140625" customWidth="1"/>
  </cols>
  <sheetData>
    <row r="1" spans="1:34" x14ac:dyDescent="0.25">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X1" s="2">
        <v>2020</v>
      </c>
      <c r="Y1" s="2">
        <f>+X1+1</f>
        <v>2021</v>
      </c>
      <c r="Z1" s="2">
        <f t="shared" ref="Z1:AF1" si="0">+Y1+1</f>
        <v>2022</v>
      </c>
      <c r="AA1" s="2">
        <f t="shared" si="0"/>
        <v>2023</v>
      </c>
      <c r="AB1" s="2">
        <f t="shared" si="0"/>
        <v>2024</v>
      </c>
      <c r="AC1" s="2">
        <f t="shared" si="0"/>
        <v>2025</v>
      </c>
      <c r="AD1" s="2">
        <f t="shared" si="0"/>
        <v>2026</v>
      </c>
      <c r="AE1" s="2">
        <f t="shared" si="0"/>
        <v>2027</v>
      </c>
      <c r="AF1" s="2">
        <f t="shared" si="0"/>
        <v>2028</v>
      </c>
      <c r="AG1" s="2">
        <f t="shared" ref="AG1:AH1" si="1">+AF1+1</f>
        <v>2029</v>
      </c>
      <c r="AH1" s="2">
        <f t="shared" si="1"/>
        <v>2030</v>
      </c>
    </row>
    <row r="2" spans="1:34" x14ac:dyDescent="0.25">
      <c r="A2" s="2" t="s">
        <v>28</v>
      </c>
      <c r="B2" s="2"/>
      <c r="C2" s="2"/>
      <c r="D2" s="2"/>
      <c r="E2" s="2"/>
      <c r="F2" s="2"/>
      <c r="G2" s="2"/>
      <c r="H2" s="2"/>
      <c r="I2" s="2"/>
      <c r="J2" s="2"/>
      <c r="K2" s="2"/>
      <c r="L2" s="2"/>
      <c r="M2" s="2"/>
      <c r="N2" s="2">
        <v>14.625999999999999</v>
      </c>
      <c r="O2" s="2">
        <v>14.68</v>
      </c>
      <c r="P2" s="2"/>
      <c r="Q2" s="2"/>
      <c r="R2" s="2">
        <v>17.510999999999999</v>
      </c>
      <c r="S2" s="2">
        <v>19.056000000000001</v>
      </c>
      <c r="T2" s="2"/>
      <c r="U2" s="2"/>
      <c r="X2" s="2"/>
      <c r="Y2" s="2"/>
      <c r="Z2" s="2">
        <v>53.317999999999998</v>
      </c>
      <c r="AA2" s="2">
        <v>60.204000000000001</v>
      </c>
      <c r="AB2" s="2"/>
      <c r="AC2" s="2"/>
      <c r="AD2" s="2"/>
      <c r="AE2" s="2"/>
      <c r="AF2" s="2"/>
      <c r="AG2" s="2"/>
      <c r="AH2" s="2"/>
    </row>
    <row r="3" spans="1:34" x14ac:dyDescent="0.25">
      <c r="A3" t="s">
        <v>29</v>
      </c>
      <c r="N3">
        <v>3.1789999999999998</v>
      </c>
      <c r="O3">
        <v>3.24</v>
      </c>
      <c r="R3">
        <v>3.7559999999999998</v>
      </c>
      <c r="S3">
        <v>3.4550000000000001</v>
      </c>
      <c r="Z3">
        <v>12.211</v>
      </c>
      <c r="AA3">
        <v>13.069000000000001</v>
      </c>
    </row>
    <row r="4" spans="1:34" x14ac:dyDescent="0.25">
      <c r="A4" s="2" t="s">
        <v>30</v>
      </c>
      <c r="B4" s="2">
        <f t="shared" ref="B4:R4" si="2">+B2-B3</f>
        <v>0</v>
      </c>
      <c r="C4" s="2">
        <f t="shared" si="2"/>
        <v>0</v>
      </c>
      <c r="D4" s="2">
        <f t="shared" si="2"/>
        <v>0</v>
      </c>
      <c r="E4" s="2">
        <f t="shared" si="2"/>
        <v>0</v>
      </c>
      <c r="F4" s="2">
        <f t="shared" si="2"/>
        <v>0</v>
      </c>
      <c r="G4" s="2">
        <f t="shared" si="2"/>
        <v>0</v>
      </c>
      <c r="H4" s="2">
        <f t="shared" si="2"/>
        <v>0</v>
      </c>
      <c r="I4" s="2">
        <f t="shared" si="2"/>
        <v>0</v>
      </c>
      <c r="J4" s="2">
        <f t="shared" si="2"/>
        <v>0</v>
      </c>
      <c r="K4" s="2">
        <f t="shared" si="2"/>
        <v>0</v>
      </c>
      <c r="L4" s="2">
        <f t="shared" si="2"/>
        <v>0</v>
      </c>
      <c r="M4" s="2">
        <f t="shared" si="2"/>
        <v>0</v>
      </c>
      <c r="N4" s="2">
        <f t="shared" si="2"/>
        <v>11.446999999999999</v>
      </c>
      <c r="O4" s="2">
        <f t="shared" si="2"/>
        <v>11.44</v>
      </c>
      <c r="P4" s="2">
        <f t="shared" si="2"/>
        <v>0</v>
      </c>
      <c r="Q4" s="2">
        <f t="shared" si="2"/>
        <v>0</v>
      </c>
      <c r="R4" s="2">
        <f t="shared" si="2"/>
        <v>13.754999999999999</v>
      </c>
      <c r="S4" s="2">
        <f>+S2-S3</f>
        <v>15.601000000000001</v>
      </c>
      <c r="T4" s="2">
        <f t="shared" ref="T4:U4" si="3">+T2-T3</f>
        <v>0</v>
      </c>
      <c r="U4" s="2">
        <f t="shared" si="3"/>
        <v>0</v>
      </c>
      <c r="X4" s="2">
        <f t="shared" ref="X4" si="4">+X2-X3</f>
        <v>0</v>
      </c>
      <c r="Y4" s="2">
        <f t="shared" ref="Y4" si="5">+Y2-Y3</f>
        <v>0</v>
      </c>
      <c r="Z4" s="2">
        <f t="shared" ref="Z4" si="6">+Z2-Z3</f>
        <v>41.106999999999999</v>
      </c>
      <c r="AA4" s="2">
        <f t="shared" ref="AA4" si="7">+AA2-AA3</f>
        <v>47.134999999999998</v>
      </c>
      <c r="AB4" s="2">
        <f t="shared" ref="AB4" si="8">+AB2-AB3</f>
        <v>0</v>
      </c>
      <c r="AC4" s="2">
        <f t="shared" ref="AC4" si="9">+AC2-AC3</f>
        <v>0</v>
      </c>
      <c r="AD4" s="2">
        <f t="shared" ref="AD4" si="10">+AD2-AD3</f>
        <v>0</v>
      </c>
      <c r="AE4" s="2">
        <f t="shared" ref="AE4" si="11">+AE2-AE3</f>
        <v>0</v>
      </c>
      <c r="AF4" s="2">
        <f t="shared" ref="AF4" si="12">+AF2-AF3</f>
        <v>0</v>
      </c>
      <c r="AG4" s="2">
        <f t="shared" ref="AG4" si="13">+AG2-AG3</f>
        <v>0</v>
      </c>
      <c r="AH4" s="2">
        <f t="shared" ref="AH4" si="14">+AH2-AH3</f>
        <v>0</v>
      </c>
    </row>
    <row r="5" spans="1:34" x14ac:dyDescent="0.25">
      <c r="A5" t="s">
        <v>31</v>
      </c>
      <c r="N5">
        <v>3.8889999999999998</v>
      </c>
      <c r="O5">
        <v>3.0779999999999998</v>
      </c>
      <c r="R5">
        <v>3.7120000000000002</v>
      </c>
      <c r="S5">
        <v>4.4059999999999997</v>
      </c>
      <c r="Z5">
        <v>10.834</v>
      </c>
      <c r="AA5">
        <v>13.833</v>
      </c>
    </row>
    <row r="6" spans="1:34" x14ac:dyDescent="0.25">
      <c r="A6" t="s">
        <v>32</v>
      </c>
      <c r="N6" s="2">
        <v>5.2409999999999997</v>
      </c>
      <c r="O6">
        <v>5.0750000000000002</v>
      </c>
      <c r="R6" s="5">
        <v>5.79</v>
      </c>
      <c r="S6">
        <v>5.75</v>
      </c>
      <c r="Z6" s="5">
        <v>23.236999999999998</v>
      </c>
      <c r="AA6" s="5">
        <v>22.446000000000002</v>
      </c>
    </row>
    <row r="7" spans="1:34" x14ac:dyDescent="0.25">
      <c r="A7" t="s">
        <v>33</v>
      </c>
      <c r="N7">
        <v>1.9159999999999999</v>
      </c>
      <c r="O7">
        <v>2.0539999999999998</v>
      </c>
      <c r="R7" s="5">
        <v>2.27</v>
      </c>
      <c r="S7">
        <v>2.3769999999999998</v>
      </c>
      <c r="Z7">
        <v>6.6749999999999998</v>
      </c>
      <c r="AA7">
        <v>8.3520000000000003</v>
      </c>
    </row>
    <row r="8" spans="1:34" x14ac:dyDescent="0.25">
      <c r="A8" t="s">
        <v>34</v>
      </c>
      <c r="B8">
        <f t="shared" ref="B8:R8" si="15">+B5+B6+B7</f>
        <v>0</v>
      </c>
      <c r="C8">
        <f t="shared" si="15"/>
        <v>0</v>
      </c>
      <c r="D8">
        <f t="shared" si="15"/>
        <v>0</v>
      </c>
      <c r="E8">
        <f t="shared" si="15"/>
        <v>0</v>
      </c>
      <c r="F8">
        <f t="shared" si="15"/>
        <v>0</v>
      </c>
      <c r="G8">
        <f t="shared" si="15"/>
        <v>0</v>
      </c>
      <c r="H8">
        <f t="shared" si="15"/>
        <v>0</v>
      </c>
      <c r="I8">
        <f t="shared" si="15"/>
        <v>0</v>
      </c>
      <c r="J8">
        <f t="shared" si="15"/>
        <v>0</v>
      </c>
      <c r="K8">
        <f t="shared" si="15"/>
        <v>0</v>
      </c>
      <c r="L8">
        <f t="shared" si="15"/>
        <v>0</v>
      </c>
      <c r="M8">
        <f t="shared" si="15"/>
        <v>0</v>
      </c>
      <c r="N8">
        <f t="shared" si="15"/>
        <v>11.045999999999999</v>
      </c>
      <c r="O8">
        <f t="shared" si="15"/>
        <v>10.207000000000001</v>
      </c>
      <c r="P8">
        <f t="shared" si="15"/>
        <v>0</v>
      </c>
      <c r="Q8">
        <f t="shared" si="15"/>
        <v>0</v>
      </c>
      <c r="R8">
        <f t="shared" si="15"/>
        <v>11.772</v>
      </c>
      <c r="S8">
        <f>+S5+S6+S7</f>
        <v>12.532999999999998</v>
      </c>
      <c r="T8">
        <f t="shared" ref="T8:U8" si="16">+T5+T6+T7</f>
        <v>0</v>
      </c>
      <c r="U8">
        <f t="shared" si="16"/>
        <v>0</v>
      </c>
      <c r="X8">
        <f t="shared" ref="X8" si="17">+X5+X6+X7</f>
        <v>0</v>
      </c>
      <c r="Y8">
        <f t="shared" ref="Y8" si="18">+Y5+Y6+Y7</f>
        <v>0</v>
      </c>
      <c r="Z8">
        <f t="shared" ref="Z8" si="19">+Z5+Z6+Z7</f>
        <v>40.745999999999995</v>
      </c>
      <c r="AA8">
        <f t="shared" ref="AA8" si="20">+AA5+AA6+AA7</f>
        <v>44.631</v>
      </c>
      <c r="AB8">
        <f t="shared" ref="AB8" si="21">+AB5+AB6+AB7</f>
        <v>0</v>
      </c>
      <c r="AC8">
        <f t="shared" ref="AC8" si="22">+AC5+AC6+AC7</f>
        <v>0</v>
      </c>
      <c r="AD8">
        <f t="shared" ref="AD8" si="23">+AD5+AD6+AD7</f>
        <v>0</v>
      </c>
      <c r="AE8">
        <f t="shared" ref="AE8" si="24">+AE5+AE6+AE7</f>
        <v>0</v>
      </c>
      <c r="AF8">
        <f t="shared" ref="AF8" si="25">+AF5+AF6+AF7</f>
        <v>0</v>
      </c>
      <c r="AG8">
        <f t="shared" ref="AG8" si="26">+AG5+AG6+AG7</f>
        <v>0</v>
      </c>
      <c r="AH8">
        <f t="shared" ref="AH8" si="27">+AH5+AH6+AH7</f>
        <v>0</v>
      </c>
    </row>
    <row r="9" spans="1:34" x14ac:dyDescent="0.25">
      <c r="A9" s="2" t="s">
        <v>35</v>
      </c>
      <c r="B9" s="2">
        <f t="shared" ref="B9:R9" si="28">+B4-B8</f>
        <v>0</v>
      </c>
      <c r="C9" s="2">
        <f t="shared" si="28"/>
        <v>0</v>
      </c>
      <c r="D9" s="2">
        <f t="shared" si="28"/>
        <v>0</v>
      </c>
      <c r="E9" s="2">
        <f t="shared" si="28"/>
        <v>0</v>
      </c>
      <c r="F9" s="2">
        <f t="shared" si="28"/>
        <v>0</v>
      </c>
      <c r="G9" s="2">
        <f t="shared" si="28"/>
        <v>0</v>
      </c>
      <c r="H9" s="2">
        <f t="shared" si="28"/>
        <v>0</v>
      </c>
      <c r="I9" s="2">
        <f t="shared" si="28"/>
        <v>0</v>
      </c>
      <c r="J9" s="2">
        <f t="shared" si="28"/>
        <v>0</v>
      </c>
      <c r="K9" s="2">
        <f t="shared" si="28"/>
        <v>0</v>
      </c>
      <c r="L9" s="2">
        <f t="shared" si="28"/>
        <v>0</v>
      </c>
      <c r="M9" s="2">
        <f t="shared" si="28"/>
        <v>0</v>
      </c>
      <c r="N9" s="2">
        <f t="shared" si="28"/>
        <v>0.4009999999999998</v>
      </c>
      <c r="O9" s="2">
        <f t="shared" si="28"/>
        <v>1.2329999999999988</v>
      </c>
      <c r="P9" s="2">
        <f t="shared" si="28"/>
        <v>0</v>
      </c>
      <c r="Q9" s="2">
        <f t="shared" si="28"/>
        <v>0</v>
      </c>
      <c r="R9" s="2">
        <f t="shared" si="28"/>
        <v>1.9829999999999988</v>
      </c>
      <c r="S9" s="2">
        <f>+S4-S8</f>
        <v>3.0680000000000032</v>
      </c>
      <c r="T9" s="2">
        <f t="shared" ref="T9:U9" si="29">+T4-T8</f>
        <v>0</v>
      </c>
      <c r="U9" s="2">
        <f t="shared" si="29"/>
        <v>0</v>
      </c>
      <c r="X9" s="2">
        <f t="shared" ref="X9" si="30">+X4-X8</f>
        <v>0</v>
      </c>
      <c r="Y9" s="2">
        <f t="shared" ref="Y9" si="31">+Y4-Y8</f>
        <v>0</v>
      </c>
      <c r="Z9" s="2">
        <f t="shared" ref="Z9" si="32">+Z4-Z8</f>
        <v>0.36100000000000421</v>
      </c>
      <c r="AA9" s="2">
        <f t="shared" ref="AA9" si="33">+AA4-AA8</f>
        <v>2.5039999999999978</v>
      </c>
      <c r="AB9" s="2">
        <f t="shared" ref="AB9" si="34">+AB4-AB8</f>
        <v>0</v>
      </c>
      <c r="AC9" s="2">
        <f t="shared" ref="AC9" si="35">+AC4-AC8</f>
        <v>0</v>
      </c>
      <c r="AD9" s="2">
        <f t="shared" ref="AD9" si="36">+AD4-AD8</f>
        <v>0</v>
      </c>
      <c r="AE9" s="2">
        <f t="shared" ref="AE9" si="37">+AE4-AE8</f>
        <v>0</v>
      </c>
      <c r="AF9" s="2">
        <f t="shared" ref="AF9" si="38">+AF4-AF8</f>
        <v>0</v>
      </c>
      <c r="AG9" s="2">
        <f t="shared" ref="AG9" si="39">+AG4-AG8</f>
        <v>0</v>
      </c>
      <c r="AH9" s="2">
        <f t="shared" ref="AH9" si="40">+AH4-AH8</f>
        <v>0</v>
      </c>
    </row>
    <row r="10" spans="1:34" x14ac:dyDescent="0.25">
      <c r="A10" t="s">
        <v>36</v>
      </c>
      <c r="N10">
        <v>0.28599999999999998</v>
      </c>
      <c r="O10">
        <v>0.315</v>
      </c>
      <c r="R10">
        <v>0.36499999999999999</v>
      </c>
      <c r="S10">
        <v>0.314</v>
      </c>
      <c r="Z10">
        <v>0.35099999999999998</v>
      </c>
      <c r="AA10">
        <v>1.3340000000000001</v>
      </c>
    </row>
    <row r="11" spans="1:34" x14ac:dyDescent="0.25">
      <c r="A11" t="s">
        <v>37</v>
      </c>
      <c r="B11">
        <f t="shared" ref="B11:R11" si="41">+B9+B10</f>
        <v>0</v>
      </c>
      <c r="C11">
        <f t="shared" si="41"/>
        <v>0</v>
      </c>
      <c r="D11">
        <f t="shared" si="41"/>
        <v>0</v>
      </c>
      <c r="E11">
        <f t="shared" si="41"/>
        <v>0</v>
      </c>
      <c r="F11">
        <f t="shared" si="41"/>
        <v>0</v>
      </c>
      <c r="G11">
        <f t="shared" si="41"/>
        <v>0</v>
      </c>
      <c r="H11">
        <f t="shared" si="41"/>
        <v>0</v>
      </c>
      <c r="I11">
        <f t="shared" si="41"/>
        <v>0</v>
      </c>
      <c r="J11">
        <f t="shared" si="41"/>
        <v>0</v>
      </c>
      <c r="K11">
        <f t="shared" si="41"/>
        <v>0</v>
      </c>
      <c r="L11">
        <f t="shared" si="41"/>
        <v>0</v>
      </c>
      <c r="M11">
        <f t="shared" si="41"/>
        <v>0</v>
      </c>
      <c r="N11">
        <f t="shared" si="41"/>
        <v>0.68699999999999983</v>
      </c>
      <c r="O11">
        <f t="shared" si="41"/>
        <v>1.5479999999999987</v>
      </c>
      <c r="P11">
        <f t="shared" si="41"/>
        <v>0</v>
      </c>
      <c r="Q11">
        <f t="shared" si="41"/>
        <v>0</v>
      </c>
      <c r="R11">
        <f t="shared" si="41"/>
        <v>2.347999999999999</v>
      </c>
      <c r="S11">
        <f>+S9+S10</f>
        <v>3.3820000000000032</v>
      </c>
      <c r="T11">
        <f t="shared" ref="T11:U11" si="42">+T9+T10</f>
        <v>0</v>
      </c>
      <c r="U11">
        <f t="shared" si="42"/>
        <v>0</v>
      </c>
      <c r="X11">
        <f t="shared" ref="X11" si="43">+X9+X10</f>
        <v>0</v>
      </c>
      <c r="Y11">
        <f t="shared" ref="Y11" si="44">+Y9+Y10</f>
        <v>0</v>
      </c>
      <c r="Z11">
        <f t="shared" ref="Z11" si="45">+Z9+Z10</f>
        <v>0.71200000000000419</v>
      </c>
      <c r="AA11">
        <f t="shared" ref="AA11" si="46">+AA9+AA10</f>
        <v>3.8379999999999979</v>
      </c>
      <c r="AB11">
        <f t="shared" ref="AB11" si="47">+AB9+AB10</f>
        <v>0</v>
      </c>
      <c r="AC11">
        <f t="shared" ref="AC11" si="48">+AC9+AC10</f>
        <v>0</v>
      </c>
      <c r="AD11">
        <f t="shared" ref="AD11" si="49">+AD9+AD10</f>
        <v>0</v>
      </c>
      <c r="AE11">
        <f t="shared" ref="AE11" si="50">+AE9+AE10</f>
        <v>0</v>
      </c>
      <c r="AF11">
        <f t="shared" ref="AF11" si="51">+AF9+AF10</f>
        <v>0</v>
      </c>
      <c r="AG11">
        <f t="shared" ref="AG11" si="52">+AG9+AG10</f>
        <v>0</v>
      </c>
      <c r="AH11">
        <f t="shared" ref="AH11" si="53">+AH9+AH10</f>
        <v>0</v>
      </c>
    </row>
    <row r="12" spans="1:34" x14ac:dyDescent="0.25">
      <c r="A12" t="s">
        <v>38</v>
      </c>
      <c r="N12">
        <v>-2.9000000000000001E-2</v>
      </c>
      <c r="O12">
        <v>0.16</v>
      </c>
      <c r="R12">
        <v>0.56399999999999995</v>
      </c>
      <c r="S12">
        <v>0.745</v>
      </c>
      <c r="Z12">
        <v>9.6000000000000002E-2</v>
      </c>
      <c r="AA12">
        <v>-9.6910000000000007</v>
      </c>
    </row>
    <row r="13" spans="1:34" x14ac:dyDescent="0.25">
      <c r="A13" s="2" t="s">
        <v>39</v>
      </c>
      <c r="B13" s="2">
        <f t="shared" ref="B13:R13" si="54">+B11-B12</f>
        <v>0</v>
      </c>
      <c r="C13" s="2">
        <f t="shared" si="54"/>
        <v>0</v>
      </c>
      <c r="D13" s="2">
        <f t="shared" si="54"/>
        <v>0</v>
      </c>
      <c r="E13" s="2">
        <f t="shared" si="54"/>
        <v>0</v>
      </c>
      <c r="F13" s="2">
        <f t="shared" si="54"/>
        <v>0</v>
      </c>
      <c r="G13" s="2">
        <f t="shared" si="54"/>
        <v>0</v>
      </c>
      <c r="H13" s="2">
        <f t="shared" si="54"/>
        <v>0</v>
      </c>
      <c r="I13" s="2">
        <f t="shared" si="54"/>
        <v>0</v>
      </c>
      <c r="J13" s="2">
        <f t="shared" si="54"/>
        <v>0</v>
      </c>
      <c r="K13" s="2">
        <f t="shared" si="54"/>
        <v>0</v>
      </c>
      <c r="L13" s="2">
        <f t="shared" si="54"/>
        <v>0</v>
      </c>
      <c r="M13" s="2">
        <f t="shared" si="54"/>
        <v>0</v>
      </c>
      <c r="N13" s="2">
        <f t="shared" si="54"/>
        <v>0.71599999999999986</v>
      </c>
      <c r="O13" s="2">
        <f t="shared" si="54"/>
        <v>1.3879999999999988</v>
      </c>
      <c r="P13" s="2">
        <f t="shared" si="54"/>
        <v>0</v>
      </c>
      <c r="Q13" s="2">
        <f t="shared" si="54"/>
        <v>0</v>
      </c>
      <c r="R13" s="2">
        <f t="shared" si="54"/>
        <v>1.7839999999999989</v>
      </c>
      <c r="S13" s="2">
        <f>+S11-S12</f>
        <v>2.6370000000000031</v>
      </c>
      <c r="T13" s="2">
        <f t="shared" ref="T13:U13" si="55">+T11-T12</f>
        <v>0</v>
      </c>
      <c r="U13" s="2">
        <f t="shared" si="55"/>
        <v>0</v>
      </c>
      <c r="X13" s="2">
        <f t="shared" ref="X13" si="56">+X11-X12</f>
        <v>0</v>
      </c>
      <c r="Y13" s="2">
        <f t="shared" ref="Y13" si="57">+Y11-Y12</f>
        <v>0</v>
      </c>
      <c r="Z13" s="2">
        <f t="shared" ref="Z13" si="58">+Z11-Z12</f>
        <v>0.61600000000000421</v>
      </c>
      <c r="AA13" s="2">
        <f t="shared" ref="AA13" si="59">+AA11-AA12</f>
        <v>13.528999999999998</v>
      </c>
      <c r="AB13" s="2">
        <f t="shared" ref="AB13" si="60">+AB11-AB12</f>
        <v>0</v>
      </c>
      <c r="AC13" s="2">
        <f t="shared" ref="AC13" si="61">+AC11-AC12</f>
        <v>0</v>
      </c>
      <c r="AD13" s="2">
        <f t="shared" ref="AD13" si="62">+AD11-AD12</f>
        <v>0</v>
      </c>
      <c r="AE13" s="2">
        <f t="shared" ref="AE13" si="63">+AE11-AE12</f>
        <v>0</v>
      </c>
      <c r="AF13" s="2">
        <f t="shared" ref="AF13" si="64">+AF11-AF12</f>
        <v>0</v>
      </c>
      <c r="AG13" s="2">
        <f t="shared" ref="AG13" si="65">+AG11-AG12</f>
        <v>0</v>
      </c>
      <c r="AH13" s="2">
        <f t="shared" ref="AH13" si="66">+AH11-AH12</f>
        <v>0</v>
      </c>
    </row>
    <row r="14" spans="1:34" x14ac:dyDescent="0.25">
      <c r="A14" t="s">
        <v>40</v>
      </c>
      <c r="N14">
        <v>14.236770999999999</v>
      </c>
      <c r="O14">
        <v>14.172000000000001</v>
      </c>
      <c r="R14">
        <v>14.164505999999999</v>
      </c>
      <c r="S14">
        <v>14.051</v>
      </c>
      <c r="Z14">
        <v>14.107144</v>
      </c>
      <c r="AA14">
        <v>14.134</v>
      </c>
    </row>
    <row r="15" spans="1:34" x14ac:dyDescent="0.25">
      <c r="A15" t="s">
        <v>41</v>
      </c>
      <c r="B15" s="3" t="e">
        <f t="shared" ref="B15:R15" si="67">+B13/B14</f>
        <v>#DIV/0!</v>
      </c>
      <c r="C15" s="3" t="e">
        <f t="shared" si="67"/>
        <v>#DIV/0!</v>
      </c>
      <c r="D15" s="3" t="e">
        <f t="shared" si="67"/>
        <v>#DIV/0!</v>
      </c>
      <c r="E15" s="3" t="e">
        <f t="shared" si="67"/>
        <v>#DIV/0!</v>
      </c>
      <c r="F15" s="3" t="e">
        <f t="shared" si="67"/>
        <v>#DIV/0!</v>
      </c>
      <c r="G15" s="3" t="e">
        <f t="shared" si="67"/>
        <v>#DIV/0!</v>
      </c>
      <c r="H15" s="3" t="e">
        <f t="shared" si="67"/>
        <v>#DIV/0!</v>
      </c>
      <c r="I15" s="3" t="e">
        <f t="shared" si="67"/>
        <v>#DIV/0!</v>
      </c>
      <c r="J15" s="3" t="e">
        <f t="shared" si="67"/>
        <v>#DIV/0!</v>
      </c>
      <c r="K15" s="3" t="e">
        <f t="shared" si="67"/>
        <v>#DIV/0!</v>
      </c>
      <c r="L15" s="3" t="e">
        <f t="shared" si="67"/>
        <v>#DIV/0!</v>
      </c>
      <c r="M15" s="3" t="e">
        <f t="shared" si="67"/>
        <v>#DIV/0!</v>
      </c>
      <c r="N15" s="3">
        <f t="shared" si="67"/>
        <v>5.0292302938636853E-2</v>
      </c>
      <c r="O15" s="3">
        <f t="shared" si="67"/>
        <v>9.7939599209709197E-2</v>
      </c>
      <c r="P15" s="3" t="e">
        <f t="shared" si="67"/>
        <v>#DIV/0!</v>
      </c>
      <c r="Q15" s="3" t="e">
        <f t="shared" si="67"/>
        <v>#DIV/0!</v>
      </c>
      <c r="R15" s="3">
        <f t="shared" si="67"/>
        <v>0.12594862115205421</v>
      </c>
      <c r="S15" s="3">
        <f>+S13/S14</f>
        <v>0.18767347519749505</v>
      </c>
      <c r="T15" s="3" t="e">
        <f t="shared" ref="T15:U15" si="68">+T13/T14</f>
        <v>#DIV/0!</v>
      </c>
      <c r="U15" s="3" t="e">
        <f t="shared" si="68"/>
        <v>#DIV/0!</v>
      </c>
      <c r="X15" s="3" t="e">
        <f t="shared" ref="X15" si="69">+X13/X14</f>
        <v>#DIV/0!</v>
      </c>
      <c r="Y15" s="3" t="e">
        <f t="shared" ref="Y15" si="70">+Y13/Y14</f>
        <v>#DIV/0!</v>
      </c>
      <c r="Z15" s="3">
        <f t="shared" ref="Z15" si="71">+Z13/Z14</f>
        <v>4.3665819247326335E-2</v>
      </c>
      <c r="AA15" s="3">
        <f t="shared" ref="AA15" si="72">+AA13/AA14</f>
        <v>0.95719541531059837</v>
      </c>
      <c r="AB15" s="3" t="e">
        <f t="shared" ref="AB15" si="73">+AB13/AB14</f>
        <v>#DIV/0!</v>
      </c>
      <c r="AC15" s="3" t="e">
        <f t="shared" ref="AC15" si="74">+AC13/AC14</f>
        <v>#DIV/0!</v>
      </c>
      <c r="AD15" s="3" t="e">
        <f t="shared" ref="AD15" si="75">+AD13/AD14</f>
        <v>#DIV/0!</v>
      </c>
      <c r="AE15" s="3" t="e">
        <f t="shared" ref="AE15" si="76">+AE13/AE14</f>
        <v>#DIV/0!</v>
      </c>
      <c r="AF15" s="3" t="e">
        <f t="shared" ref="AF15" si="77">+AF13/AF14</f>
        <v>#DIV/0!</v>
      </c>
      <c r="AG15" s="3" t="e">
        <f t="shared" ref="AG15" si="78">+AG13/AG14</f>
        <v>#DIV/0!</v>
      </c>
      <c r="AH15" s="3" t="e">
        <f t="shared" ref="AH15" si="79">+AH13/AH14</f>
        <v>#DIV/0!</v>
      </c>
    </row>
    <row r="17" spans="1:34" x14ac:dyDescent="0.25">
      <c r="A17" t="s">
        <v>42</v>
      </c>
      <c r="R17" s="4">
        <f t="shared" ref="R17" si="80">+R2/N2-1</f>
        <v>0.19725146998495835</v>
      </c>
      <c r="S17" s="4">
        <f>+S2/O2-1</f>
        <v>0.29809264305177119</v>
      </c>
      <c r="AA17" s="4">
        <f>+AA2/Z2-1</f>
        <v>0.12914963051877426</v>
      </c>
    </row>
    <row r="18" spans="1:34" x14ac:dyDescent="0.25">
      <c r="A18" t="s">
        <v>65</v>
      </c>
      <c r="N18" s="4">
        <f t="shared" ref="N18:S18" si="81">+N4/N2</f>
        <v>0.78264734035279637</v>
      </c>
      <c r="O18" s="4">
        <f t="shared" si="81"/>
        <v>0.77929155313351495</v>
      </c>
      <c r="P18" s="4" t="e">
        <f t="shared" si="81"/>
        <v>#DIV/0!</v>
      </c>
      <c r="Q18" s="4" t="e">
        <f t="shared" si="81"/>
        <v>#DIV/0!</v>
      </c>
      <c r="R18" s="4">
        <f t="shared" si="81"/>
        <v>0.78550625321226653</v>
      </c>
      <c r="S18" s="4">
        <f>+S4/S2</f>
        <v>0.8186922753988245</v>
      </c>
      <c r="X18" s="4" t="e">
        <f t="shared" ref="X18:AH18" si="82">+X4/X2</f>
        <v>#DIV/0!</v>
      </c>
      <c r="Y18" s="4" t="e">
        <f t="shared" si="82"/>
        <v>#DIV/0!</v>
      </c>
      <c r="Z18" s="4">
        <f t="shared" si="82"/>
        <v>0.77097790614801753</v>
      </c>
      <c r="AA18" s="4">
        <f t="shared" si="82"/>
        <v>0.78292140057139059</v>
      </c>
      <c r="AB18" s="4" t="e">
        <f t="shared" si="82"/>
        <v>#DIV/0!</v>
      </c>
      <c r="AC18" s="4" t="e">
        <f t="shared" si="82"/>
        <v>#DIV/0!</v>
      </c>
      <c r="AD18" s="4" t="e">
        <f t="shared" si="82"/>
        <v>#DIV/0!</v>
      </c>
      <c r="AE18" s="4" t="e">
        <f t="shared" si="82"/>
        <v>#DIV/0!</v>
      </c>
      <c r="AF18" s="4" t="e">
        <f t="shared" si="82"/>
        <v>#DIV/0!</v>
      </c>
      <c r="AG18" s="4" t="e">
        <f t="shared" si="82"/>
        <v>#DIV/0!</v>
      </c>
      <c r="AH18" s="4" t="e">
        <f t="shared" si="82"/>
        <v>#DIV/0!</v>
      </c>
    </row>
    <row r="19" spans="1:34" x14ac:dyDescent="0.25">
      <c r="A19" t="s">
        <v>66</v>
      </c>
      <c r="N19" s="4">
        <f t="shared" ref="N19:S19" si="83">+N9/N2</f>
        <v>2.7416928757008054E-2</v>
      </c>
      <c r="O19" s="4">
        <f t="shared" si="83"/>
        <v>8.3991825613078941E-2</v>
      </c>
      <c r="P19" s="4" t="e">
        <f t="shared" si="83"/>
        <v>#DIV/0!</v>
      </c>
      <c r="Q19" s="4" t="e">
        <f t="shared" si="83"/>
        <v>#DIV/0!</v>
      </c>
      <c r="R19" s="4">
        <f t="shared" si="83"/>
        <v>0.1132431043344183</v>
      </c>
      <c r="S19" s="4">
        <f>+S9/S2</f>
        <v>0.16099916036943759</v>
      </c>
      <c r="X19" s="4" t="e">
        <f t="shared" ref="X19:AH19" si="84">+X9/X2</f>
        <v>#DIV/0!</v>
      </c>
      <c r="Y19" s="4" t="e">
        <f t="shared" si="84"/>
        <v>#DIV/0!</v>
      </c>
      <c r="Z19" s="4">
        <f t="shared" si="84"/>
        <v>6.7706965752654677E-3</v>
      </c>
      <c r="AA19" s="4">
        <f t="shared" si="84"/>
        <v>4.1591920802604439E-2</v>
      </c>
      <c r="AB19" s="4" t="e">
        <f t="shared" si="84"/>
        <v>#DIV/0!</v>
      </c>
      <c r="AC19" s="4" t="e">
        <f t="shared" si="84"/>
        <v>#DIV/0!</v>
      </c>
      <c r="AD19" s="4" t="e">
        <f t="shared" si="84"/>
        <v>#DIV/0!</v>
      </c>
      <c r="AE19" s="4" t="e">
        <f t="shared" si="84"/>
        <v>#DIV/0!</v>
      </c>
      <c r="AF19" s="4" t="e">
        <f t="shared" si="84"/>
        <v>#DIV/0!</v>
      </c>
      <c r="AG19" s="4" t="e">
        <f t="shared" si="84"/>
        <v>#DIV/0!</v>
      </c>
      <c r="AH19" s="4" t="e">
        <f t="shared" si="84"/>
        <v>#DIV/0!</v>
      </c>
    </row>
    <row r="20" spans="1:34" x14ac:dyDescent="0.25">
      <c r="A20" t="s">
        <v>67</v>
      </c>
      <c r="N20" s="4">
        <f t="shared" ref="N20:S20" si="85">+N13/N2</f>
        <v>4.8953917680842327E-2</v>
      </c>
      <c r="O20" s="4">
        <f t="shared" si="85"/>
        <v>9.4550408719345974E-2</v>
      </c>
      <c r="P20" s="4" t="e">
        <f t="shared" si="85"/>
        <v>#DIV/0!</v>
      </c>
      <c r="Q20" s="4" t="e">
        <f t="shared" si="85"/>
        <v>#DIV/0!</v>
      </c>
      <c r="R20" s="4">
        <f t="shared" si="85"/>
        <v>0.10187881902803946</v>
      </c>
      <c r="S20" s="4">
        <f>+S13/S2</f>
        <v>0.13838161209068026</v>
      </c>
      <c r="X20" s="4" t="e">
        <f t="shared" ref="X20:AH20" si="86">+X13/X2</f>
        <v>#DIV/0!</v>
      </c>
      <c r="Y20" s="4" t="e">
        <f t="shared" si="86"/>
        <v>#DIV/0!</v>
      </c>
      <c r="Z20" s="4">
        <f t="shared" si="86"/>
        <v>1.1553321579954316E-2</v>
      </c>
      <c r="AA20" s="4">
        <f t="shared" si="86"/>
        <v>0.22471928775496641</v>
      </c>
      <c r="AB20" s="4" t="e">
        <f t="shared" si="86"/>
        <v>#DIV/0!</v>
      </c>
      <c r="AC20" s="4" t="e">
        <f t="shared" si="86"/>
        <v>#DIV/0!</v>
      </c>
      <c r="AD20" s="4" t="e">
        <f t="shared" si="86"/>
        <v>#DIV/0!</v>
      </c>
      <c r="AE20" s="4" t="e">
        <f t="shared" si="86"/>
        <v>#DIV/0!</v>
      </c>
      <c r="AF20" s="4" t="e">
        <f t="shared" si="86"/>
        <v>#DIV/0!</v>
      </c>
      <c r="AG20" s="4" t="e">
        <f t="shared" si="86"/>
        <v>#DIV/0!</v>
      </c>
      <c r="AH20" s="4" t="e">
        <f t="shared" si="86"/>
        <v>#DIV/0!</v>
      </c>
    </row>
    <row r="22" spans="1:34" x14ac:dyDescent="0.25">
      <c r="A22" t="s">
        <v>43</v>
      </c>
      <c r="N22">
        <v>1.5309999999999999</v>
      </c>
      <c r="O22">
        <f>5.708-N22</f>
        <v>4.1770000000000005</v>
      </c>
      <c r="R22">
        <v>4.3049999999999997</v>
      </c>
      <c r="S22">
        <f>10.022-R22</f>
        <v>5.7170000000000005</v>
      </c>
      <c r="Z22">
        <v>12.459</v>
      </c>
      <c r="AA22">
        <v>15.071</v>
      </c>
    </row>
    <row r="23" spans="1:34" x14ac:dyDescent="0.25">
      <c r="A23" t="s">
        <v>44</v>
      </c>
      <c r="N23">
        <v>4.3999999999999997E-2</v>
      </c>
      <c r="O23">
        <f>0.051-N23</f>
        <v>6.9999999999999993E-3</v>
      </c>
      <c r="R23">
        <v>6.5000000000000002E-2</v>
      </c>
      <c r="S23">
        <f>0.117-R23</f>
        <v>5.2000000000000005E-2</v>
      </c>
      <c r="Z23">
        <v>0.373</v>
      </c>
      <c r="AA23">
        <v>0.122</v>
      </c>
    </row>
    <row r="24" spans="1:34" x14ac:dyDescent="0.25">
      <c r="A24" t="s">
        <v>64</v>
      </c>
      <c r="N24">
        <v>2.2730000000000001</v>
      </c>
      <c r="O24">
        <f>4.509-N24</f>
        <v>2.2360000000000002</v>
      </c>
      <c r="R24">
        <v>2.327</v>
      </c>
      <c r="S24">
        <f>4.738-R24</f>
        <v>2.4110000000000005</v>
      </c>
      <c r="Z24">
        <v>8.4559999999999995</v>
      </c>
      <c r="AA24">
        <v>9.0239999999999991</v>
      </c>
    </row>
    <row r="25" spans="1:34" x14ac:dyDescent="0.25">
      <c r="A25" t="s">
        <v>45</v>
      </c>
      <c r="B25" s="2">
        <f t="shared" ref="B25:R25" si="87">+B22-B23-B24</f>
        <v>0</v>
      </c>
      <c r="C25" s="2">
        <f t="shared" si="87"/>
        <v>0</v>
      </c>
      <c r="D25" s="2">
        <f t="shared" si="87"/>
        <v>0</v>
      </c>
      <c r="E25" s="2">
        <f t="shared" si="87"/>
        <v>0</v>
      </c>
      <c r="F25" s="2">
        <f t="shared" si="87"/>
        <v>0</v>
      </c>
      <c r="G25" s="2">
        <f t="shared" si="87"/>
        <v>0</v>
      </c>
      <c r="H25" s="2">
        <f t="shared" si="87"/>
        <v>0</v>
      </c>
      <c r="I25" s="2">
        <f t="shared" si="87"/>
        <v>0</v>
      </c>
      <c r="J25" s="2">
        <f t="shared" si="87"/>
        <v>0</v>
      </c>
      <c r="K25" s="2">
        <f t="shared" si="87"/>
        <v>0</v>
      </c>
      <c r="L25" s="2">
        <f t="shared" si="87"/>
        <v>0</v>
      </c>
      <c r="M25" s="2">
        <f t="shared" si="87"/>
        <v>0</v>
      </c>
      <c r="N25" s="2">
        <f t="shared" si="87"/>
        <v>-0.78600000000000025</v>
      </c>
      <c r="O25" s="2">
        <f t="shared" si="87"/>
        <v>1.9340000000000006</v>
      </c>
      <c r="P25" s="2">
        <f t="shared" si="87"/>
        <v>0</v>
      </c>
      <c r="Q25" s="2">
        <f t="shared" si="87"/>
        <v>0</v>
      </c>
      <c r="R25" s="2">
        <f t="shared" si="87"/>
        <v>1.9129999999999994</v>
      </c>
      <c r="S25" s="2">
        <f>+S22-S23-S24</f>
        <v>3.2540000000000004</v>
      </c>
      <c r="T25" s="2"/>
      <c r="U25" s="2"/>
      <c r="X25" s="2">
        <f t="shared" ref="X25:AA25" si="88">+X22-X23-X24</f>
        <v>0</v>
      </c>
      <c r="Y25" s="2">
        <f t="shared" si="88"/>
        <v>0</v>
      </c>
      <c r="Z25" s="2">
        <f t="shared" si="88"/>
        <v>3.6300000000000008</v>
      </c>
      <c r="AA25" s="2">
        <f t="shared" si="88"/>
        <v>5.9250000000000007</v>
      </c>
    </row>
    <row r="27" spans="1:34" x14ac:dyDescent="0.25">
      <c r="A27" t="s">
        <v>46</v>
      </c>
      <c r="N27">
        <v>1.3839999999999999</v>
      </c>
      <c r="O27">
        <f>2.689-N27</f>
        <v>1.3050000000000002</v>
      </c>
      <c r="R27">
        <v>1.4019999999999999</v>
      </c>
      <c r="S27">
        <f>2.795-R27</f>
        <v>1.393</v>
      </c>
      <c r="Z27">
        <v>5.5049999999999999</v>
      </c>
      <c r="AA27">
        <v>5.3860000000000001</v>
      </c>
    </row>
    <row r="29" spans="1:34" x14ac:dyDescent="0.25">
      <c r="A29" t="s">
        <v>63</v>
      </c>
      <c r="N29">
        <v>0.17499999999999999</v>
      </c>
      <c r="O29">
        <f>0.91-N29</f>
        <v>0.7350000000000001</v>
      </c>
      <c r="R29">
        <v>1.145</v>
      </c>
      <c r="S29">
        <f>5.853-R29</f>
        <v>4.7080000000000002</v>
      </c>
      <c r="Z29">
        <v>0.878</v>
      </c>
      <c r="AA29">
        <v>3.7109999999999999</v>
      </c>
    </row>
    <row r="31" spans="1:34" x14ac:dyDescent="0.25">
      <c r="A31" t="s">
        <v>47</v>
      </c>
    </row>
    <row r="32" spans="1:34" x14ac:dyDescent="0.25">
      <c r="A32" t="s">
        <v>48</v>
      </c>
      <c r="O32">
        <v>32.031999999999996</v>
      </c>
      <c r="S32">
        <v>30.943000000000001</v>
      </c>
    </row>
    <row r="33" spans="1:19" x14ac:dyDescent="0.25">
      <c r="A33" t="s">
        <v>49</v>
      </c>
      <c r="O33">
        <v>7.1349999999999998</v>
      </c>
      <c r="S33">
        <v>7.9630000000000001</v>
      </c>
    </row>
    <row r="34" spans="1:19" x14ac:dyDescent="0.25">
      <c r="A34" t="s">
        <v>50</v>
      </c>
      <c r="O34">
        <v>1.113</v>
      </c>
      <c r="S34">
        <v>1.4830000000000001</v>
      </c>
    </row>
    <row r="35" spans="1:19" x14ac:dyDescent="0.25">
      <c r="A35" t="s">
        <v>51</v>
      </c>
      <c r="O35">
        <v>0.59199999999999997</v>
      </c>
      <c r="S35">
        <v>0.59799999999999998</v>
      </c>
    </row>
    <row r="36" spans="1:19" x14ac:dyDescent="0.25">
      <c r="A36" t="s">
        <v>52</v>
      </c>
      <c r="O36">
        <f>34.403+5.227</f>
        <v>39.629999999999995</v>
      </c>
      <c r="S36">
        <f>35.487+5.227</f>
        <v>40.713999999999999</v>
      </c>
    </row>
    <row r="37" spans="1:19" x14ac:dyDescent="0.25">
      <c r="A37" t="s">
        <v>53</v>
      </c>
      <c r="O37">
        <v>2.4569999999999999</v>
      </c>
      <c r="S37">
        <v>2.1850000000000001</v>
      </c>
    </row>
    <row r="38" spans="1:19" x14ac:dyDescent="0.25">
      <c r="A38" t="s">
        <v>54</v>
      </c>
      <c r="O38">
        <v>9.5139999999999993</v>
      </c>
      <c r="S38">
        <v>8.4329999999999998</v>
      </c>
    </row>
    <row r="39" spans="1:19" x14ac:dyDescent="0.25">
      <c r="A39" t="s">
        <v>55</v>
      </c>
      <c r="O39">
        <v>0.51700000000000002</v>
      </c>
      <c r="S39">
        <v>1.133</v>
      </c>
    </row>
    <row r="40" spans="1:19" x14ac:dyDescent="0.25">
      <c r="A40" t="s">
        <v>56</v>
      </c>
      <c r="O40">
        <f>+SUM(O32:O39)</f>
        <v>92.989999999999966</v>
      </c>
      <c r="S40">
        <f>+SUM(S32:S39)</f>
        <v>93.451999999999984</v>
      </c>
    </row>
    <row r="42" spans="1:19" x14ac:dyDescent="0.25">
      <c r="A42" t="s">
        <v>57</v>
      </c>
      <c r="O42">
        <v>1.631</v>
      </c>
      <c r="S42">
        <v>1.9690000000000001</v>
      </c>
    </row>
    <row r="43" spans="1:19" x14ac:dyDescent="0.25">
      <c r="A43" t="s">
        <v>58</v>
      </c>
      <c r="O43">
        <v>1.9890000000000001</v>
      </c>
      <c r="S43">
        <v>0.59399999999999997</v>
      </c>
    </row>
    <row r="44" spans="1:19" x14ac:dyDescent="0.25">
      <c r="A44" t="s">
        <v>60</v>
      </c>
      <c r="O44">
        <f>0.569+1.999</f>
        <v>2.5680000000000001</v>
      </c>
      <c r="S44">
        <f>0.529+1.765</f>
        <v>2.294</v>
      </c>
    </row>
    <row r="45" spans="1:19" x14ac:dyDescent="0.25">
      <c r="A45" t="s">
        <v>59</v>
      </c>
      <c r="O45">
        <v>0.69</v>
      </c>
      <c r="S45">
        <v>0.59699999999999998</v>
      </c>
    </row>
    <row r="46" spans="1:19" x14ac:dyDescent="0.25">
      <c r="A46" t="s">
        <v>61</v>
      </c>
      <c r="O46">
        <f>+SUM(O42:O45)</f>
        <v>6.8780000000000001</v>
      </c>
      <c r="S46">
        <f>+SUM(S42:S45)</f>
        <v>5.4540000000000006</v>
      </c>
    </row>
    <row r="47" spans="1:19" x14ac:dyDescent="0.25">
      <c r="A47" t="s">
        <v>62</v>
      </c>
      <c r="O47">
        <f>+O40-O46</f>
        <v>86.111999999999966</v>
      </c>
      <c r="S47">
        <f>+S40-S46</f>
        <v>87.99799999999999</v>
      </c>
    </row>
    <row r="49" spans="1:27" x14ac:dyDescent="0.25">
      <c r="A49" t="s">
        <v>72</v>
      </c>
      <c r="Z49" s="1">
        <v>7021</v>
      </c>
      <c r="AA49" s="1">
        <v>7875</v>
      </c>
    </row>
    <row r="50" spans="1:27" x14ac:dyDescent="0.25">
      <c r="A50" t="s">
        <v>74</v>
      </c>
      <c r="AA50" s="4">
        <f>+AA49/Z49-1</f>
        <v>0.12163509471585243</v>
      </c>
    </row>
    <row r="51" spans="1:27" x14ac:dyDescent="0.25">
      <c r="A51" t="s">
        <v>73</v>
      </c>
      <c r="Z51" s="1">
        <v>116960</v>
      </c>
      <c r="AA51" s="1">
        <v>185380</v>
      </c>
    </row>
    <row r="52" spans="1:27" x14ac:dyDescent="0.25">
      <c r="A52" t="s">
        <v>74</v>
      </c>
      <c r="AA52" s="4">
        <f>+AA51/Z51-1</f>
        <v>0.58498632010943918</v>
      </c>
    </row>
    <row r="54" spans="1:27" x14ac:dyDescent="0.25">
      <c r="A54" t="s">
        <v>78</v>
      </c>
      <c r="AA54">
        <v>183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alexandreduartemorais@gmail.com</dc:creator>
  <cp:lastModifiedBy>alexandreduartemorais@gmail.com</cp:lastModifiedBy>
  <dcterms:created xsi:type="dcterms:W3CDTF">2024-08-16T20:49:20Z</dcterms:created>
  <dcterms:modified xsi:type="dcterms:W3CDTF">2024-08-16T21:52:00Z</dcterms:modified>
</cp:coreProperties>
</file>