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496" documentId="8_{C1CB6A0D-CC68-4D5C-9012-1BFCDF136022}" xr6:coauthVersionLast="47" xr6:coauthVersionMax="47" xr10:uidLastSave="{F23594DB-1882-4864-9CB4-D200991D970D}"/>
  <bookViews>
    <workbookView xWindow="-120" yWindow="-120" windowWidth="29040" windowHeight="15720" activeTab="1" xr2:uid="{D02FF440-96C9-487C-972F-44AE4E6E943F}"/>
  </bookViews>
  <sheets>
    <sheet name="main" sheetId="1" r:id="rId1"/>
    <sheet name="model" sheetId="2" r:id="rId2"/>
    <sheet name="properti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2" i="2" l="1"/>
  <c r="Q13" i="2" s="1"/>
  <c r="Q14" i="2" s="1"/>
  <c r="Q35" i="2" s="1"/>
  <c r="Q21" i="2"/>
  <c r="P21" i="2"/>
  <c r="I53" i="2"/>
  <c r="R12" i="2"/>
  <c r="R33" i="2" s="1"/>
  <c r="Q33" i="2"/>
  <c r="P16" i="2"/>
  <c r="P51" i="2" s="1"/>
  <c r="P17" i="2"/>
  <c r="Q17" i="2" s="1"/>
  <c r="R17" i="2" s="1"/>
  <c r="S17" i="2" s="1"/>
  <c r="Q15" i="2"/>
  <c r="Q50" i="2" s="1"/>
  <c r="P50" i="2"/>
  <c r="Q16" i="2"/>
  <c r="Q51" i="2" s="1"/>
  <c r="P15" i="2"/>
  <c r="O51" i="2"/>
  <c r="N51" i="2"/>
  <c r="M51" i="2"/>
  <c r="L51" i="2"/>
  <c r="O50" i="2"/>
  <c r="N50" i="2"/>
  <c r="M50" i="2"/>
  <c r="L50" i="2"/>
  <c r="I51" i="2"/>
  <c r="H51" i="2"/>
  <c r="G51" i="2"/>
  <c r="F51" i="2"/>
  <c r="E51" i="2"/>
  <c r="D51" i="2"/>
  <c r="C51" i="2"/>
  <c r="I50" i="2"/>
  <c r="H50" i="2"/>
  <c r="G50" i="2"/>
  <c r="F50" i="2"/>
  <c r="E50" i="2"/>
  <c r="D50" i="2"/>
  <c r="C50" i="2"/>
  <c r="R2" i="2"/>
  <c r="S2" i="2" s="1"/>
  <c r="T2" i="2" s="1"/>
  <c r="U2" i="2" s="1"/>
  <c r="V2" i="2" s="1"/>
  <c r="Q2" i="2"/>
  <c r="P13" i="2"/>
  <c r="N29" i="2"/>
  <c r="M29" i="2"/>
  <c r="N28" i="2"/>
  <c r="M28" i="2"/>
  <c r="N33" i="2"/>
  <c r="M33" i="2"/>
  <c r="N32" i="2"/>
  <c r="M32" i="2"/>
  <c r="N31" i="2"/>
  <c r="M31" i="2"/>
  <c r="N30" i="2"/>
  <c r="M30" i="2"/>
  <c r="L21" i="2"/>
  <c r="M21" i="2"/>
  <c r="P29" i="2"/>
  <c r="P28" i="2"/>
  <c r="P33" i="2"/>
  <c r="P12" i="2"/>
  <c r="O28" i="2"/>
  <c r="O29" i="2"/>
  <c r="N21" i="2"/>
  <c r="O21" i="2"/>
  <c r="O35" i="2"/>
  <c r="N35" i="2"/>
  <c r="O32" i="2"/>
  <c r="O31" i="2"/>
  <c r="O30" i="2"/>
  <c r="O33" i="2"/>
  <c r="M40" i="2"/>
  <c r="M42" i="2" s="1"/>
  <c r="L40" i="2"/>
  <c r="L42" i="2" s="1"/>
  <c r="O40" i="2"/>
  <c r="O42" i="2" s="1"/>
  <c r="N40" i="2"/>
  <c r="N42" i="2" s="1"/>
  <c r="F21" i="2"/>
  <c r="H46" i="2"/>
  <c r="I46" i="2" s="1"/>
  <c r="H45" i="2"/>
  <c r="I45" i="2" s="1"/>
  <c r="G32" i="2"/>
  <c r="G31" i="2"/>
  <c r="G30" i="2"/>
  <c r="G29" i="2"/>
  <c r="G28" i="2"/>
  <c r="C21" i="2"/>
  <c r="G21" i="2"/>
  <c r="H29" i="2"/>
  <c r="H28" i="2"/>
  <c r="H41" i="2"/>
  <c r="I41" i="2" s="1"/>
  <c r="H39" i="2"/>
  <c r="I39" i="2" s="1"/>
  <c r="H38" i="2"/>
  <c r="I38" i="2" s="1"/>
  <c r="D41" i="2"/>
  <c r="E41" i="2" s="1"/>
  <c r="D39" i="2"/>
  <c r="E39" i="2" s="1"/>
  <c r="D38" i="2"/>
  <c r="E38" i="2" s="1"/>
  <c r="D21" i="2"/>
  <c r="H21" i="2"/>
  <c r="H32" i="2"/>
  <c r="H31" i="2"/>
  <c r="H30" i="2"/>
  <c r="O19" i="2"/>
  <c r="N19" i="2"/>
  <c r="M19" i="2"/>
  <c r="L19" i="2"/>
  <c r="O12" i="2"/>
  <c r="O14" i="2" s="1"/>
  <c r="N12" i="2"/>
  <c r="N14" i="2" s="1"/>
  <c r="M12" i="2"/>
  <c r="M14" i="2" s="1"/>
  <c r="L12" i="2"/>
  <c r="L14" i="2" s="1"/>
  <c r="I29" i="2"/>
  <c r="I28" i="2"/>
  <c r="C40" i="2"/>
  <c r="C42" i="2" s="1"/>
  <c r="J40" i="2"/>
  <c r="J42" i="2" s="1"/>
  <c r="G40" i="2"/>
  <c r="G42" i="2" s="1"/>
  <c r="F40" i="2"/>
  <c r="F42" i="2" s="1"/>
  <c r="I32" i="2"/>
  <c r="I31" i="2"/>
  <c r="I30" i="2"/>
  <c r="E21" i="2"/>
  <c r="I21" i="2"/>
  <c r="J19" i="2"/>
  <c r="H19" i="2"/>
  <c r="G19" i="2"/>
  <c r="F19" i="2"/>
  <c r="E19" i="2"/>
  <c r="D19" i="2"/>
  <c r="C19" i="2"/>
  <c r="I19" i="2"/>
  <c r="J12" i="2"/>
  <c r="J14" i="2" s="1"/>
  <c r="H12" i="2"/>
  <c r="H14" i="2" s="1"/>
  <c r="H35" i="2" s="1"/>
  <c r="G12" i="2"/>
  <c r="G14" i="2" s="1"/>
  <c r="G35" i="2" s="1"/>
  <c r="F12" i="2"/>
  <c r="F14" i="2" s="1"/>
  <c r="F35" i="2" s="1"/>
  <c r="E12" i="2"/>
  <c r="D12" i="2"/>
  <c r="D14" i="2" s="1"/>
  <c r="D35" i="2" s="1"/>
  <c r="C12" i="2"/>
  <c r="C14" i="2" s="1"/>
  <c r="C35" i="2" s="1"/>
  <c r="I12" i="2"/>
  <c r="I14" i="2" s="1"/>
  <c r="I35" i="2" s="1"/>
  <c r="L7" i="1"/>
  <c r="D19" i="3"/>
  <c r="L3" i="1" a="1"/>
  <c r="L3" i="1" s="1"/>
  <c r="L5" i="1" s="1"/>
  <c r="L8" i="1" s="1"/>
  <c r="L10" i="1" s="1"/>
  <c r="R15" i="2" l="1"/>
  <c r="R50" i="2" s="1"/>
  <c r="S12" i="2"/>
  <c r="S16" i="2" s="1"/>
  <c r="S51" i="2" s="1"/>
  <c r="R16" i="2"/>
  <c r="R51" i="2" s="1"/>
  <c r="R13" i="2"/>
  <c r="R14" i="2"/>
  <c r="R35" i="2" s="1"/>
  <c r="T17" i="2"/>
  <c r="Q19" i="2"/>
  <c r="Q20" i="2" s="1"/>
  <c r="P19" i="2"/>
  <c r="P14" i="2"/>
  <c r="P35" i="2" s="1"/>
  <c r="L20" i="2"/>
  <c r="L22" i="2" s="1"/>
  <c r="L24" i="2" s="1"/>
  <c r="L26" i="2" s="1"/>
  <c r="M20" i="2"/>
  <c r="M22" i="2" s="1"/>
  <c r="M24" i="2" s="1"/>
  <c r="M26" i="2" s="1"/>
  <c r="L35" i="2"/>
  <c r="M35" i="2"/>
  <c r="O20" i="2"/>
  <c r="G33" i="2"/>
  <c r="N20" i="2"/>
  <c r="F20" i="2"/>
  <c r="C20" i="2"/>
  <c r="G20" i="2"/>
  <c r="H33" i="2"/>
  <c r="H40" i="2"/>
  <c r="H42" i="2" s="1"/>
  <c r="I43" i="2" s="1"/>
  <c r="I40" i="2"/>
  <c r="I42" i="2" s="1"/>
  <c r="D40" i="2"/>
  <c r="D42" i="2" s="1"/>
  <c r="E40" i="2"/>
  <c r="E42" i="2" s="1"/>
  <c r="D20" i="2"/>
  <c r="D22" i="2" s="1"/>
  <c r="H20" i="2"/>
  <c r="J20" i="2"/>
  <c r="J22" i="2" s="1"/>
  <c r="J24" i="2" s="1"/>
  <c r="J26" i="2" s="1"/>
  <c r="I33" i="2"/>
  <c r="E14" i="2"/>
  <c r="E35" i="2" s="1"/>
  <c r="I20" i="2"/>
  <c r="I36" i="2" s="1"/>
  <c r="R19" i="2" l="1"/>
  <c r="R20" i="2" s="1"/>
  <c r="S13" i="2"/>
  <c r="S14" i="2" s="1"/>
  <c r="S35" i="2" s="1"/>
  <c r="T12" i="2"/>
  <c r="U12" i="2" s="1"/>
  <c r="V12" i="2" s="1"/>
  <c r="S33" i="2"/>
  <c r="S15" i="2"/>
  <c r="S50" i="2" s="1"/>
  <c r="Q22" i="2"/>
  <c r="Q23" i="2" s="1"/>
  <c r="Q24" i="2" s="1"/>
  <c r="Q26" i="2" s="1"/>
  <c r="Q36" i="2"/>
  <c r="U17" i="2"/>
  <c r="P20" i="2"/>
  <c r="P22" i="2" s="1"/>
  <c r="L36" i="2"/>
  <c r="M36" i="2"/>
  <c r="N22" i="2"/>
  <c r="N24" i="2" s="1"/>
  <c r="N26" i="2" s="1"/>
  <c r="N36" i="2"/>
  <c r="O22" i="2"/>
  <c r="O24" i="2" s="1"/>
  <c r="O26" i="2" s="1"/>
  <c r="O36" i="2"/>
  <c r="G22" i="2"/>
  <c r="G24" i="2" s="1"/>
  <c r="G26" i="2" s="1"/>
  <c r="G36" i="2"/>
  <c r="F22" i="2"/>
  <c r="F24" i="2" s="1"/>
  <c r="F26" i="2" s="1"/>
  <c r="F36" i="2"/>
  <c r="C22" i="2"/>
  <c r="C24" i="2" s="1"/>
  <c r="C26" i="2" s="1"/>
  <c r="C36" i="2"/>
  <c r="H43" i="2"/>
  <c r="G43" i="2"/>
  <c r="F43" i="2"/>
  <c r="D24" i="2"/>
  <c r="D26" i="2" s="1"/>
  <c r="D36" i="2"/>
  <c r="H22" i="2"/>
  <c r="H24" i="2" s="1"/>
  <c r="H26" i="2" s="1"/>
  <c r="H36" i="2"/>
  <c r="I22" i="2"/>
  <c r="I24" i="2" s="1"/>
  <c r="I26" i="2" s="1"/>
  <c r="E20" i="2"/>
  <c r="E36" i="2" s="1"/>
  <c r="E22" i="2"/>
  <c r="E24" i="2" s="1"/>
  <c r="E26" i="2" s="1"/>
  <c r="T13" i="2" l="1"/>
  <c r="T14" i="2" s="1"/>
  <c r="T35" i="2" s="1"/>
  <c r="T33" i="2"/>
  <c r="T16" i="2"/>
  <c r="T51" i="2" s="1"/>
  <c r="T15" i="2"/>
  <c r="T50" i="2" s="1"/>
  <c r="S19" i="2"/>
  <c r="S20" i="2" s="1"/>
  <c r="S36" i="2" s="1"/>
  <c r="U15" i="2"/>
  <c r="U50" i="2" s="1"/>
  <c r="U33" i="2"/>
  <c r="U13" i="2"/>
  <c r="U14" i="2" s="1"/>
  <c r="U35" i="2" s="1"/>
  <c r="R36" i="2"/>
  <c r="U16" i="2"/>
  <c r="U51" i="2" s="1"/>
  <c r="V17" i="2"/>
  <c r="P23" i="2"/>
  <c r="P24" i="2" s="1"/>
  <c r="P36" i="2"/>
  <c r="T19" i="2" l="1"/>
  <c r="T20" i="2" s="1"/>
  <c r="T36" i="2" s="1"/>
  <c r="P26" i="2"/>
  <c r="P53" i="2"/>
  <c r="Q53" i="2" s="1"/>
  <c r="U19" i="2"/>
  <c r="V33" i="2"/>
  <c r="V13" i="2"/>
  <c r="V14" i="2" s="1"/>
  <c r="V35" i="2" s="1"/>
  <c r="V15" i="2"/>
  <c r="V50" i="2" s="1"/>
  <c r="U20" i="2"/>
  <c r="U36" i="2" s="1"/>
  <c r="V16" i="2"/>
  <c r="V51" i="2" s="1"/>
  <c r="R21" i="2" l="1"/>
  <c r="R22" i="2" s="1"/>
  <c r="R23" i="2" s="1"/>
  <c r="R24" i="2" s="1"/>
  <c r="R26" i="2" s="1"/>
  <c r="V19" i="2"/>
  <c r="V20" i="2" s="1"/>
  <c r="V36" i="2" s="1"/>
  <c r="R53" i="2" l="1"/>
  <c r="S21" i="2" l="1"/>
  <c r="S22" i="2" s="1"/>
  <c r="S23" i="2" s="1"/>
  <c r="S24" i="2" s="1"/>
  <c r="S26" i="2" s="1"/>
  <c r="S53" i="2" l="1"/>
  <c r="T21" i="2" l="1"/>
  <c r="T22" i="2" s="1"/>
  <c r="T23" i="2" s="1"/>
  <c r="T24" i="2" s="1"/>
  <c r="T26" i="2" l="1"/>
  <c r="T53" i="2"/>
  <c r="U21" i="2" l="1"/>
  <c r="U22" i="2" s="1"/>
  <c r="U23" i="2" s="1"/>
  <c r="U24" i="2" s="1"/>
  <c r="U53" i="2" s="1"/>
  <c r="V21" i="2" l="1"/>
  <c r="V22" i="2" s="1"/>
  <c r="V23" i="2" s="1"/>
  <c r="V24" i="2" s="1"/>
  <c r="V53" i="2" s="1"/>
  <c r="U26" i="2"/>
  <c r="V26" i="2" l="1"/>
  <c r="W24" i="2"/>
  <c r="X24" i="2" l="1"/>
  <c r="Y24" i="2" s="1"/>
  <c r="Z24" i="2" s="1"/>
  <c r="AA24" i="2" s="1"/>
  <c r="AB24" i="2" s="1"/>
  <c r="AC24" i="2" s="1"/>
  <c r="AD24" i="2" s="1"/>
  <c r="AE24" i="2" s="1"/>
  <c r="AF24" i="2" s="1"/>
  <c r="AG24" i="2" s="1"/>
  <c r="AH24" i="2" s="1"/>
  <c r="AI24" i="2" s="1"/>
  <c r="AJ24" i="2" s="1"/>
  <c r="AK24" i="2" s="1"/>
  <c r="AL24" i="2" s="1"/>
  <c r="AM24" i="2" s="1"/>
  <c r="AN24" i="2" s="1"/>
  <c r="AO24" i="2" s="1"/>
  <c r="AP24" i="2" s="1"/>
  <c r="AQ24" i="2" s="1"/>
  <c r="AR24" i="2" s="1"/>
  <c r="AS24" i="2" s="1"/>
  <c r="AT24" i="2" s="1"/>
  <c r="AU24" i="2" s="1"/>
  <c r="AV24" i="2" s="1"/>
  <c r="AW24" i="2" s="1"/>
  <c r="AX24" i="2" s="1"/>
  <c r="AY24" i="2" s="1"/>
  <c r="AZ24" i="2" s="1"/>
  <c r="BA24" i="2" s="1"/>
  <c r="BB24" i="2" s="1"/>
  <c r="BC24" i="2" s="1"/>
  <c r="BD24" i="2" s="1"/>
  <c r="BE24" i="2" s="1"/>
  <c r="BF24" i="2" s="1"/>
  <c r="BG24" i="2" s="1"/>
  <c r="BH24" i="2" s="1"/>
  <c r="BI24" i="2" s="1"/>
  <c r="BJ24" i="2" s="1"/>
  <c r="BK24" i="2" s="1"/>
  <c r="BL24" i="2" s="1"/>
  <c r="BM24" i="2" s="1"/>
  <c r="BN24" i="2" s="1"/>
  <c r="BO24" i="2" s="1"/>
  <c r="BP24" i="2" s="1"/>
  <c r="BQ24" i="2" s="1"/>
  <c r="BR24" i="2" s="1"/>
  <c r="BS24" i="2" s="1"/>
  <c r="BT24" i="2" s="1"/>
  <c r="BU24" i="2" s="1"/>
  <c r="BV24" i="2" s="1"/>
  <c r="BW24" i="2" s="1"/>
  <c r="BX24" i="2" s="1"/>
  <c r="BY24" i="2" s="1"/>
  <c r="BZ24" i="2" s="1"/>
  <c r="CA24" i="2" s="1"/>
  <c r="CB24" i="2" s="1"/>
  <c r="CC24" i="2" s="1"/>
  <c r="CD24" i="2" s="1"/>
  <c r="CE24" i="2" s="1"/>
  <c r="CF24" i="2" s="1"/>
  <c r="CG24" i="2" s="1"/>
  <c r="CH24" i="2" s="1"/>
  <c r="Y15" i="2" l="1"/>
  <c r="Y16"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<sst xmlns="http://schemas.openxmlformats.org/spreadsheetml/2006/main" count="85" uniqueCount="76">
  <si>
    <t>Ticket</t>
  </si>
  <si>
    <t>Price</t>
  </si>
  <si>
    <t>Shares</t>
  </si>
  <si>
    <t>MC</t>
  </si>
  <si>
    <t>Cash</t>
  </si>
  <si>
    <t>Debt</t>
  </si>
  <si>
    <t>EV</t>
  </si>
  <si>
    <t>City</t>
  </si>
  <si>
    <t>MSA Ranking</t>
  </si>
  <si>
    <t>Number of Clubs</t>
  </si>
  <si>
    <t>New York</t>
  </si>
  <si>
    <t>Chicago</t>
  </si>
  <si>
    <t>Dallas-Fort Worth</t>
  </si>
  <si>
    <t>Houston</t>
  </si>
  <si>
    <t>Miami</t>
  </si>
  <si>
    <t>Phoenix</t>
  </si>
  <si>
    <t>Minneapolis</t>
  </si>
  <si>
    <t>Denver</t>
  </si>
  <si>
    <t>St. Louis</t>
  </si>
  <si>
    <t>Charlotte</t>
  </si>
  <si>
    <t>San Antonio</t>
  </si>
  <si>
    <t>Pittsburgh</t>
  </si>
  <si>
    <t>Austin</t>
  </si>
  <si>
    <t>Indianapolis</t>
  </si>
  <si>
    <t>Raleigh</t>
  </si>
  <si>
    <t>Louisville</t>
  </si>
  <si>
    <t>Total</t>
  </si>
  <si>
    <t>Alcohlic beverages</t>
  </si>
  <si>
    <t>Q1 2023</t>
  </si>
  <si>
    <t>Q2 2023</t>
  </si>
  <si>
    <t>Q3 2023</t>
  </si>
  <si>
    <t>Q4 2023</t>
  </si>
  <si>
    <t>Q1 2024</t>
  </si>
  <si>
    <t>Q2 2024</t>
  </si>
  <si>
    <t>Q3 2024</t>
  </si>
  <si>
    <t>Q4 2024</t>
  </si>
  <si>
    <t>Food and merchandise</t>
  </si>
  <si>
    <t>Services</t>
  </si>
  <si>
    <t>Other</t>
  </si>
  <si>
    <t>Revenue</t>
  </si>
  <si>
    <t>COGS</t>
  </si>
  <si>
    <t>Gross Profit</t>
  </si>
  <si>
    <t>Salaries</t>
  </si>
  <si>
    <t>S,G&amp;A</t>
  </si>
  <si>
    <t>D&amp;A</t>
  </si>
  <si>
    <t>Total Opex</t>
  </si>
  <si>
    <t>Operating Income</t>
  </si>
  <si>
    <t>Net Interest</t>
  </si>
  <si>
    <t>Pretax Income</t>
  </si>
  <si>
    <t>Taxes</t>
  </si>
  <si>
    <t>Net Income</t>
  </si>
  <si>
    <t>EPS</t>
  </si>
  <si>
    <t>Revenue y/y</t>
  </si>
  <si>
    <t>Operating Margin</t>
  </si>
  <si>
    <t>Gross Margin</t>
  </si>
  <si>
    <t>CFFO</t>
  </si>
  <si>
    <t>CAPEX</t>
  </si>
  <si>
    <t>FCF</t>
  </si>
  <si>
    <t>SBC</t>
  </si>
  <si>
    <t>FCF SBC Adj</t>
  </si>
  <si>
    <t>Buyback</t>
  </si>
  <si>
    <t>Dividends</t>
  </si>
  <si>
    <t>Nightclubs</t>
  </si>
  <si>
    <t>Bombshells</t>
  </si>
  <si>
    <t>News</t>
  </si>
  <si>
    <t>10/07/24- Fort Worth, Texas club was razed by fire</t>
  </si>
  <si>
    <t>Acquisitions</t>
  </si>
  <si>
    <t>TTM</t>
  </si>
  <si>
    <t>EV/FCF</t>
  </si>
  <si>
    <t>S,G&amp;A %</t>
  </si>
  <si>
    <t xml:space="preserve">Salaries % </t>
  </si>
  <si>
    <t>Discount</t>
  </si>
  <si>
    <t>Maturity</t>
  </si>
  <si>
    <t>ROIC</t>
  </si>
  <si>
    <t>NPV</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</si>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</sst>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409]* #,##0.00_);_([$$-409]* \(#,##0.00\);_([$$-409]* &quot;-&quot;??_);_(@_)"/>
    <numFmt numFmtId="169" formatCode="_-[$$-409]* #,##0.00_ ;_-[$$-409]* \-#,##0.00\ ;_-[$$-409]* &quot;-&quot;??_ ;_-@_ "/>
    <numFmt numFmtId="170" formatCode="0.0%"/>
    <numFmt numFmtId="173" formatCode="0.0\x"/>
    <numFmt numFmtId="174" formatCode="#,##0.00_ ;[Red]\-#,##0.00\ "/>
    <numFmt numFmtId="175" formatCode="[$$-409]#,##0.00"/>
  </numFmts>
  <fonts count="5" x14ac:knownFonts="1">
    <font>
      <sz val="11"/>
      <color theme="1"/>
      <name val="Aptos Narrow"/>
      <family val="2"/>
      <scheme val="minor"/>
    </font>
    <font>
      <sz val="10"/>
      <color theme="1"/>
      <name val="Arial"/>
      <family val="2"/>
    </font>
    <font>
      <b/>
      <sz val="10"/>
      <color rgb="FF000000"/>
      <name val="Arial"/>
      <family val="2"/>
    </font>
    <font>
      <sz val="10"/>
      <color rgb="FF000000"/>
      <name val="Arial"/>
      <family val="2"/>
    </font>
    <font>
      <b/>
      <sz val="10"/>
      <color theme="1"/>
      <name val="Arial"/>
      <family val="2"/>
    </font>
  </fonts>
  <fills count="4">
    <fill>
      <patternFill patternType="none"/>
    </fill>
    <fill>
      <patternFill patternType="gray125"/>
    </fill>
    <fill>
      <patternFill patternType="solid">
        <fgColor rgb="FFCCCCCC"/>
        <bgColor indexed="64"/>
      </patternFill>
    </fill>
    <fill>
      <patternFill patternType="solid">
        <fgColor rgb="FFFFFFFF"/>
        <bgColor indexed="64"/>
      </patternFill>
    </fill>
  </fills>
  <borders count="14">
    <border>
      <left/>
      <right/>
      <top/>
      <bottom/>
      <diagonal/>
    </border>
    <border>
      <left/>
      <right style="thin">
        <color theme="2"/>
      </right>
      <top/>
      <bottom style="thin">
        <color theme="2"/>
      </bottom>
      <diagonal/>
    </border>
    <border>
      <left/>
      <right style="thin">
        <color theme="2"/>
      </right>
      <top/>
      <bottom/>
      <diagonal/>
    </border>
    <border>
      <left/>
      <right style="thin">
        <color theme="2"/>
      </right>
      <top style="thin">
        <color theme="2"/>
      </top>
      <bottom style="thin">
        <color theme="2"/>
      </bottom>
      <diagonal/>
    </border>
    <border>
      <left/>
      <right style="thin">
        <color theme="2"/>
      </right>
      <top style="thin">
        <color theme="2"/>
      </top>
      <bottom style="thin">
        <color theme="2" tint="-9.9978637043366805E-2"/>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top/>
      <bottom style="thin">
        <color theme="2" tint="-9.9978637043366805E-2"/>
      </bottom>
      <diagonal/>
    </border>
    <border>
      <left/>
      <right/>
      <top/>
      <bottom style="thin">
        <color theme="2" tint="-9.9978637043366805E-2"/>
      </bottom>
      <diagonal/>
    </border>
    <border>
      <left/>
      <right style="thin">
        <color theme="2" tint="-9.9978637043366805E-2"/>
      </right>
      <top/>
      <bottom style="thin">
        <color theme="2"/>
      </bottom>
      <diagonal/>
    </border>
    <border>
      <left/>
      <right style="thin">
        <color theme="2" tint="-9.9978637043366805E-2"/>
      </right>
      <top style="thin">
        <color theme="2"/>
      </top>
      <bottom style="thin">
        <color theme="2"/>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op>
      <bottom style="thin">
        <color theme="2" tint="-9.9978637043366805E-2"/>
      </bottom>
      <diagonal/>
    </border>
    <border>
      <left/>
      <right style="thin">
        <color theme="2" tint="-9.9978637043366805E-2"/>
      </right>
      <top/>
      <bottom style="thin">
        <color theme="2" tint="-9.9978637043366805E-2"/>
      </bottom>
      <diagonal/>
    </border>
    <border>
      <left/>
      <right style="thin">
        <color theme="2" tint="-9.9978637043366805E-2"/>
      </right>
      <top style="thin">
        <color theme="2"/>
      </top>
      <bottom/>
      <diagonal/>
    </border>
  </borders>
  <cellStyleXfs count="1">
    <xf numFmtId="0" fontId="0" fillId="0" borderId="0"/>
  </cellStyleXfs>
  <cellXfs count="31">
    <xf numFmtId="0" fontId="0" fillId="0" borderId="0" xfId="0"/>
    <xf numFmtId="0" fontId="1" fillId="0" borderId="0" xfId="0" applyFont="1"/>
    <xf numFmtId="164" fontId="1" fillId="0" borderId="0" xfId="0" applyNumberFormat="1" applyFont="1"/>
    <xf numFmtId="3" fontId="1" fillId="0" borderId="0" xfId="0" applyNumberFormat="1" applyFont="1"/>
    <xf numFmtId="0" fontId="1" fillId="0" borderId="0" xfId="0" applyFont="1" applyAlignment="1">
      <alignment horizontal="center" vertical="center"/>
    </xf>
    <xf numFmtId="0" fontId="3" fillId="3" borderId="2"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1" fillId="0" borderId="6" xfId="0" applyFont="1" applyBorder="1"/>
    <xf numFmtId="0" fontId="2" fillId="2" borderId="5" xfId="0" applyFont="1" applyFill="1" applyBorder="1" applyAlignment="1">
      <alignment horizontal="center" vertical="center"/>
    </xf>
    <xf numFmtId="0" fontId="1" fillId="0" borderId="7" xfId="0" applyFont="1" applyBorder="1"/>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xf numFmtId="0" fontId="2" fillId="2" borderId="13" xfId="0" applyFont="1" applyFill="1" applyBorder="1" applyAlignment="1">
      <alignment horizontal="center" vertical="center"/>
    </xf>
    <xf numFmtId="0" fontId="4" fillId="0" borderId="5" xfId="0" applyFont="1" applyBorder="1" applyAlignment="1">
      <alignment horizontal="center"/>
    </xf>
    <xf numFmtId="0" fontId="4" fillId="0" borderId="5" xfId="0" applyFont="1" applyBorder="1"/>
    <xf numFmtId="0" fontId="4" fillId="0" borderId="0" xfId="0" applyFont="1"/>
    <xf numFmtId="3" fontId="4" fillId="0" borderId="0" xfId="0" applyNumberFormat="1" applyFont="1"/>
    <xf numFmtId="169" fontId="1" fillId="0" borderId="0" xfId="0" applyNumberFormat="1" applyFont="1"/>
    <xf numFmtId="9" fontId="1" fillId="0" borderId="0" xfId="0" applyNumberFormat="1" applyFont="1"/>
    <xf numFmtId="170" fontId="1" fillId="0" borderId="0" xfId="0" applyNumberFormat="1" applyFont="1"/>
    <xf numFmtId="170" fontId="4" fillId="0" borderId="0" xfId="0" applyNumberFormat="1" applyFont="1"/>
    <xf numFmtId="173" fontId="1" fillId="0" borderId="0" xfId="0" applyNumberFormat="1" applyFont="1"/>
    <xf numFmtId="14" fontId="1" fillId="0" borderId="0" xfId="0" applyNumberFormat="1" applyFont="1"/>
    <xf numFmtId="174" fontId="1" fillId="0" borderId="0" xfId="0" applyNumberFormat="1" applyFont="1"/>
    <xf numFmtId="17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9</xdr:col>
      <xdr:colOff>19050</xdr:colOff>
      <xdr:row>0</xdr:row>
      <xdr:rowOff>38100</xdr:rowOff>
    </xdr:from>
    <xdr:to>
      <xdr:col>9</xdr:col>
      <xdr:colOff>19050</xdr:colOff>
      <xdr:row>57</xdr:row>
      <xdr:rowOff>133350</xdr:rowOff>
    </xdr:to>
    <xdr:cxnSp macro="">
      <xdr:nvCxnSpPr>
        <xdr:cNvPr id="3" name="Straight Connector 2">
          <a:extLst>
            <a:ext uri="{FF2B5EF4-FFF2-40B4-BE49-F238E27FC236}">
              <a16:creationId xmlns:a16="http://schemas.microsoft.com/office/drawing/2014/main" id="{FEAA9BCB-CAA9-0554-9673-450180495B0C}"/>
            </a:ext>
          </a:extLst>
        </xdr:cNvPr>
        <xdr:cNvCxnSpPr/>
      </xdr:nvCxnSpPr>
      <xdr:spPr>
        <a:xfrm>
          <a:off x="6238875" y="38100"/>
          <a:ext cx="0" cy="932497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600075</xdr:colOff>
      <xdr:row>0</xdr:row>
      <xdr:rowOff>0</xdr:rowOff>
    </xdr:from>
    <xdr:to>
      <xdr:col>15</xdr:col>
      <xdr:colOff>9525</xdr:colOff>
      <xdr:row>57</xdr:row>
      <xdr:rowOff>133350</xdr:rowOff>
    </xdr:to>
    <xdr:cxnSp macro="">
      <xdr:nvCxnSpPr>
        <xdr:cNvPr id="5" name="Straight Connector 4">
          <a:extLst>
            <a:ext uri="{FF2B5EF4-FFF2-40B4-BE49-F238E27FC236}">
              <a16:creationId xmlns:a16="http://schemas.microsoft.com/office/drawing/2014/main" id="{415E4FC4-5258-4773-898A-F2085DDB8D71}"/>
            </a:ext>
          </a:extLst>
        </xdr:cNvPr>
        <xdr:cNvCxnSpPr/>
      </xdr:nvCxnSpPr>
      <xdr:spPr>
        <a:xfrm>
          <a:off x="9867900" y="0"/>
          <a:ext cx="19050" cy="936307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https://www.bing.com/financeapi/forcetrigger?t=a21zz2&amp;q=XNAS%3aRICK&amp;form=skydnc</v>
    <v>Learn more on Bing</v>
  </rv>
  <rv s="1">
    <v>en-GB</v>
    <v>a21zz2</v>
    <v>268435456</v>
    <v>1</v>
    <v>Powered by Refinitiv</v>
    <v>0</v>
    <v>RCI HOSPITALITY HOLDINGS, INC. (XNAS:RICK)</v>
    <v>2</v>
    <v>3</v>
    <v>Finance</v>
    <v>4</v>
    <v>69.400000000000006</v>
    <v>37.61</v>
    <v>1.5632999999999999</v>
    <v>-0.12</v>
    <v>0</v>
    <v>-2.7750000000000001E-3</v>
    <v>0</v>
    <v>USD</v>
    <v>RCI Hospitality Holdings, Inc. is a holding company, which operates through its subsidiaries. The Company is engaged in various activities in the hospitality and related businesses. The Company’s all services and management operations are conducted by its subsidiaries, including RCI Management Services, Inc. It operates a total of 70 establishments, which offers live adult entertainment, including two that are under renovation/remodeling, and/or restaurant and bar operations, including one food hall. It also operates a business communications company serving the multi-billion-dollar adult nightclubs industry. The Company has three segments: Nightclubs, Bombshells and Other. Its Nightclubs portfolio includes a variety of brands and formats that target different customer demographics. Its nightclubs are located around the country in New York City, Chicago, Dallas-Fort Worth and others. Bombshells Restaurant &amp; Bar is a military-themed casual dining chain with a focus on sports and fun.</v>
    <v>3778</v>
    <v>Nasdaq Stock Market</v>
    <v>XNAS</v>
    <v>XNAS</v>
    <v>10737 Cutten Road, HOUSTON, TX, 77066 US</v>
    <v>44.005000000000003</v>
    <v>Hotels &amp; Entertainment Services</v>
    <v>Stock</v>
    <v>45590.835108553125</v>
    <v>0</v>
    <v>43</v>
    <v>388021000</v>
    <v>RCI HOSPITALITY HOLDINGS, INC.</v>
    <v>RCI HOSPITALITY HOLDINGS, INC.</v>
    <v>43.43</v>
    <v>82.482299999999995</v>
    <v>43.25</v>
    <v>43.13</v>
    <v>43.13</v>
    <v>8996550</v>
    <v>RICK</v>
    <v>RCI HOSPITALITY HOLDINGS, INC. (XNAS:RICK)</v>
    <v>33075</v>
    <v>66268</v>
    <v>1994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9E168-BA26-4551-8ECD-98A8BEA5E76A}">
  <dimension ref="B2:L10"/>
  <sheetViews>
    <sheetView workbookViewId="0">
      <selection activeCell="L10" sqref="L10"/>
    </sheetView>
  </sheetViews>
  <sheetFormatPr defaultRowHeight="12.75" x14ac:dyDescent="0.2"/>
  <cols>
    <col min="1" max="16384" width="9.140625" style="1"/>
  </cols>
  <sheetData>
    <row r="2" spans="2:12" x14ac:dyDescent="0.2">
      <c r="B2" s="21" t="s">
        <v>64</v>
      </c>
      <c r="K2" s="21" t="s">
        <v>0</v>
      </c>
      <c r="L2" s="1" t="e" vm="1">
        <v>#VALUE!</v>
      </c>
    </row>
    <row r="3" spans="2:12" x14ac:dyDescent="0.2">
      <c r="B3" s="1" t="s">
        <v>65</v>
      </c>
      <c r="K3" s="21" t="s">
        <v>1</v>
      </c>
      <c r="L3" s="2" cm="1">
        <f t="array" aca="1" ref="L3" ca="1">+_FV(L2,"Price")</f>
        <v>43.13</v>
      </c>
    </row>
    <row r="4" spans="2:12" x14ac:dyDescent="0.2">
      <c r="K4" s="21" t="s">
        <v>2</v>
      </c>
      <c r="L4" s="1">
        <v>8.9965499999999992</v>
      </c>
    </row>
    <row r="5" spans="2:12" x14ac:dyDescent="0.2">
      <c r="K5" s="21" t="s">
        <v>3</v>
      </c>
      <c r="L5" s="3">
        <f ca="1">+L3*L4</f>
        <v>388.02120149999996</v>
      </c>
    </row>
    <row r="6" spans="2:12" x14ac:dyDescent="0.2">
      <c r="K6" s="21" t="s">
        <v>4</v>
      </c>
      <c r="L6" s="3">
        <v>34.947000000000003</v>
      </c>
    </row>
    <row r="7" spans="2:12" x14ac:dyDescent="0.2">
      <c r="K7" s="21" t="s">
        <v>5</v>
      </c>
      <c r="L7" s="3">
        <f>28.889+216.511</f>
        <v>245.4</v>
      </c>
    </row>
    <row r="8" spans="2:12" x14ac:dyDescent="0.2">
      <c r="K8" s="21" t="s">
        <v>6</v>
      </c>
      <c r="L8" s="3">
        <f ca="1">+L5-L6+L7</f>
        <v>598.47420149999994</v>
      </c>
    </row>
    <row r="10" spans="2:12" x14ac:dyDescent="0.2">
      <c r="K10" s="21" t="s">
        <v>68</v>
      </c>
      <c r="L10" s="27">
        <f ca="1">+L8/41</f>
        <v>14.596931743902438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FE8FE-7719-4887-95E8-34D6722EB23F}">
  <dimension ref="B1:CH53"/>
  <sheetViews>
    <sheetView tabSelected="1" workbookViewId="0">
      <pane xSplit="2" ySplit="2" topLeftCell="C3" activePane="bottomRight" state="frozen"/>
      <selection pane="topRight" activeCell="C1" sqref="C1"/>
      <selection pane="bottomLeft" activeCell="A3" sqref="A3"/>
      <selection pane="bottomRight" activeCell="W12" sqref="W12"/>
    </sheetView>
  </sheetViews>
  <sheetFormatPr defaultRowHeight="12.75" x14ac:dyDescent="0.2"/>
  <cols>
    <col min="1" max="1" width="9.140625" style="1"/>
    <col min="2" max="2" width="20.140625" style="1" bestFit="1" customWidth="1"/>
    <col min="3" max="9" width="9.140625" style="1"/>
    <col min="10" max="10" width="10.140625" style="1" bestFit="1" customWidth="1"/>
    <col min="11" max="16384" width="9.140625" style="1"/>
  </cols>
  <sheetData>
    <row r="1" spans="2:25" x14ac:dyDescent="0.2">
      <c r="J1" s="28">
        <v>45565</v>
      </c>
    </row>
    <row r="2" spans="2:25" x14ac:dyDescent="0.2">
      <c r="C2" s="21" t="s">
        <v>28</v>
      </c>
      <c r="D2" s="21" t="s">
        <v>29</v>
      </c>
      <c r="E2" s="21" t="s">
        <v>30</v>
      </c>
      <c r="F2" s="21" t="s">
        <v>31</v>
      </c>
      <c r="G2" s="21" t="s">
        <v>32</v>
      </c>
      <c r="H2" s="21" t="s">
        <v>33</v>
      </c>
      <c r="I2" s="21" t="s">
        <v>34</v>
      </c>
      <c r="J2" s="21" t="s">
        <v>35</v>
      </c>
      <c r="L2" s="21">
        <v>2018</v>
      </c>
      <c r="M2" s="21">
        <v>2019</v>
      </c>
      <c r="N2" s="21">
        <v>2022</v>
      </c>
      <c r="O2" s="21">
        <v>2023</v>
      </c>
      <c r="P2" s="21">
        <v>2024</v>
      </c>
      <c r="Q2" s="21">
        <f>+P2+1</f>
        <v>2025</v>
      </c>
      <c r="R2" s="21">
        <f t="shared" ref="R2:V2" si="0">+Q2+1</f>
        <v>2026</v>
      </c>
      <c r="S2" s="21">
        <f t="shared" si="0"/>
        <v>2027</v>
      </c>
      <c r="T2" s="21">
        <f t="shared" si="0"/>
        <v>2028</v>
      </c>
      <c r="U2" s="21">
        <f t="shared" si="0"/>
        <v>2029</v>
      </c>
      <c r="V2" s="21">
        <f t="shared" si="0"/>
        <v>2030</v>
      </c>
    </row>
    <row r="3" spans="2:25" x14ac:dyDescent="0.2">
      <c r="B3" s="1" t="s">
        <v>62</v>
      </c>
      <c r="C3" s="3">
        <v>56.325000000000003</v>
      </c>
      <c r="D3" s="3">
        <v>57.030999999999999</v>
      </c>
      <c r="E3" s="3">
        <v>62.448999999999998</v>
      </c>
      <c r="F3" s="3">
        <v>60.942999999999998</v>
      </c>
      <c r="G3" s="3">
        <v>61.033000000000001</v>
      </c>
      <c r="H3" s="3">
        <v>59.372</v>
      </c>
      <c r="I3" s="3">
        <v>62.823</v>
      </c>
      <c r="J3" s="3">
        <v>60.2</v>
      </c>
      <c r="L3" s="3">
        <v>140.06</v>
      </c>
      <c r="M3" s="3">
        <v>148.60599999999999</v>
      </c>
      <c r="N3" s="3">
        <v>206.251</v>
      </c>
      <c r="O3" s="3">
        <v>236.74799999999999</v>
      </c>
      <c r="P3" s="3">
        <v>242.2</v>
      </c>
    </row>
    <row r="4" spans="2:25" x14ac:dyDescent="0.2">
      <c r="B4" s="1" t="s">
        <v>63</v>
      </c>
      <c r="C4" s="3">
        <v>13.430999999999999</v>
      </c>
      <c r="D4" s="3">
        <v>14.315</v>
      </c>
      <c r="E4" s="3">
        <v>14.397</v>
      </c>
      <c r="F4" s="3">
        <v>13.58</v>
      </c>
      <c r="G4" s="3">
        <v>12.731</v>
      </c>
      <c r="H4" s="3">
        <v>12.771000000000001</v>
      </c>
      <c r="I4" s="3">
        <v>13.138999999999999</v>
      </c>
      <c r="J4" s="3">
        <v>11.9</v>
      </c>
      <c r="L4" s="3">
        <v>24.094000000000001</v>
      </c>
      <c r="M4" s="3">
        <v>30.827999999999999</v>
      </c>
      <c r="N4" s="3">
        <v>59.924999999999997</v>
      </c>
      <c r="O4" s="3">
        <v>55.722999999999999</v>
      </c>
      <c r="P4" s="3">
        <v>50.5</v>
      </c>
    </row>
    <row r="5" spans="2:25" x14ac:dyDescent="0.2">
      <c r="B5" s="1" t="s">
        <v>38</v>
      </c>
      <c r="C5" s="3">
        <v>0.21199999999999999</v>
      </c>
      <c r="D5" s="3">
        <v>0.17100000000000001</v>
      </c>
      <c r="E5" s="3">
        <v>0.20899999999999999</v>
      </c>
      <c r="F5" s="3">
        <v>0.72699999999999998</v>
      </c>
      <c r="G5" s="3">
        <v>0.14299999999999999</v>
      </c>
      <c r="H5" s="3">
        <v>0.14000000000000001</v>
      </c>
      <c r="I5" s="3">
        <v>0.218</v>
      </c>
      <c r="J5" s="3"/>
      <c r="L5" s="3">
        <v>1.5940000000000001</v>
      </c>
      <c r="M5" s="3">
        <v>1.625</v>
      </c>
      <c r="N5" s="3">
        <v>1.444</v>
      </c>
      <c r="O5" s="3">
        <v>1.319</v>
      </c>
      <c r="P5" s="3"/>
    </row>
    <row r="6" spans="2:25" x14ac:dyDescent="0.2">
      <c r="C6" s="21"/>
      <c r="D6" s="21"/>
      <c r="E6" s="21"/>
      <c r="F6" s="21"/>
      <c r="G6" s="21"/>
      <c r="H6" s="21"/>
      <c r="I6" s="21"/>
      <c r="J6" s="21"/>
      <c r="L6" s="3"/>
      <c r="M6" s="3"/>
      <c r="N6" s="3"/>
      <c r="O6" s="3"/>
      <c r="P6" s="3"/>
    </row>
    <row r="7" spans="2:25" x14ac:dyDescent="0.2">
      <c r="B7" s="1" t="s">
        <v>27</v>
      </c>
      <c r="C7" s="3">
        <v>29.65</v>
      </c>
      <c r="D7" s="3">
        <v>30.135999999999999</v>
      </c>
      <c r="E7" s="3">
        <v>34.151000000000003</v>
      </c>
      <c r="F7" s="3">
        <v>33.325000000000003</v>
      </c>
      <c r="G7" s="3">
        <v>33.316000000000003</v>
      </c>
      <c r="H7" s="3">
        <v>32.906999999999996</v>
      </c>
      <c r="I7" s="3">
        <v>34.442</v>
      </c>
      <c r="J7" s="3"/>
      <c r="L7" s="3">
        <v>69.12</v>
      </c>
      <c r="M7" s="3">
        <v>75.14</v>
      </c>
      <c r="N7" s="3">
        <v>113.316</v>
      </c>
      <c r="O7" s="3">
        <v>127.262</v>
      </c>
      <c r="P7" s="3"/>
    </row>
    <row r="8" spans="2:25" x14ac:dyDescent="0.2">
      <c r="B8" s="1" t="s">
        <v>36</v>
      </c>
      <c r="C8" s="3">
        <v>10.347</v>
      </c>
      <c r="D8" s="3">
        <v>11.005000000000001</v>
      </c>
      <c r="E8" s="3">
        <v>11.404999999999999</v>
      </c>
      <c r="F8" s="3">
        <v>11.148999999999999</v>
      </c>
      <c r="G8" s="3">
        <v>10.802</v>
      </c>
      <c r="H8" s="3">
        <v>11.068</v>
      </c>
      <c r="I8" s="3">
        <v>11.736000000000001</v>
      </c>
      <c r="J8" s="3"/>
      <c r="L8" s="3">
        <v>22.433</v>
      </c>
      <c r="M8" s="3">
        <v>25.83</v>
      </c>
      <c r="N8" s="3">
        <v>44.293999999999997</v>
      </c>
      <c r="O8" s="3">
        <v>43.905999999999999</v>
      </c>
      <c r="P8" s="3"/>
    </row>
    <row r="9" spans="2:25" x14ac:dyDescent="0.2">
      <c r="B9" s="1" t="s">
        <v>37</v>
      </c>
      <c r="C9" s="3">
        <v>25.562999999999999</v>
      </c>
      <c r="D9" s="3">
        <v>25.69</v>
      </c>
      <c r="E9" s="3">
        <v>26.663</v>
      </c>
      <c r="F9" s="3">
        <v>25.661000000000001</v>
      </c>
      <c r="G9" s="3">
        <v>25.119</v>
      </c>
      <c r="H9" s="3">
        <v>23.564</v>
      </c>
      <c r="I9" s="3">
        <v>25.268000000000001</v>
      </c>
      <c r="J9" s="3"/>
      <c r="L9" s="3">
        <v>64.103999999999999</v>
      </c>
      <c r="M9" s="3">
        <v>68.055000000000007</v>
      </c>
      <c r="N9" s="3">
        <v>93.888000000000005</v>
      </c>
      <c r="O9" s="3">
        <v>103.577</v>
      </c>
      <c r="P9" s="3"/>
    </row>
    <row r="10" spans="2:25" x14ac:dyDescent="0.2">
      <c r="B10" s="1" t="s">
        <v>38</v>
      </c>
      <c r="C10" s="3">
        <v>4.4080000000000004</v>
      </c>
      <c r="D10" s="3">
        <v>4.6859999999999999</v>
      </c>
      <c r="E10" s="3">
        <v>4.8360000000000003</v>
      </c>
      <c r="F10" s="3">
        <v>5.1150000000000002</v>
      </c>
      <c r="G10" s="3">
        <v>4.67</v>
      </c>
      <c r="H10" s="3">
        <v>4.7439999999999998</v>
      </c>
      <c r="I10" s="3">
        <v>4.734</v>
      </c>
      <c r="J10" s="3"/>
      <c r="L10" s="3">
        <v>10.090999999999999</v>
      </c>
      <c r="M10" s="3">
        <v>12.034000000000001</v>
      </c>
      <c r="N10" s="3">
        <v>16.122</v>
      </c>
      <c r="O10" s="3">
        <v>19.045000000000002</v>
      </c>
      <c r="P10" s="3"/>
    </row>
    <row r="11" spans="2:25" x14ac:dyDescent="0.2">
      <c r="C11" s="3"/>
      <c r="D11" s="3"/>
      <c r="E11" s="3"/>
      <c r="F11" s="3"/>
      <c r="G11" s="3"/>
      <c r="H11" s="3"/>
      <c r="I11" s="3"/>
      <c r="J11" s="3"/>
    </row>
    <row r="12" spans="2:25" x14ac:dyDescent="0.2">
      <c r="B12" s="21" t="s">
        <v>39</v>
      </c>
      <c r="C12" s="22">
        <f t="shared" ref="C12:H12" si="1">+SUM(C7:C10)</f>
        <v>69.968000000000004</v>
      </c>
      <c r="D12" s="22">
        <f t="shared" si="1"/>
        <v>71.516999999999996</v>
      </c>
      <c r="E12" s="22">
        <f t="shared" si="1"/>
        <v>77.055000000000007</v>
      </c>
      <c r="F12" s="22">
        <f t="shared" si="1"/>
        <v>75.25</v>
      </c>
      <c r="G12" s="22">
        <f>+SUM(G7:G10)</f>
        <v>73.906999999999996</v>
      </c>
      <c r="H12" s="22">
        <f t="shared" si="1"/>
        <v>72.282999999999987</v>
      </c>
      <c r="I12" s="22">
        <f>+SUM(I7:I10)</f>
        <v>76.179999999999993</v>
      </c>
      <c r="J12" s="22">
        <f>+SUM(J7:J10)</f>
        <v>0</v>
      </c>
      <c r="L12" s="22">
        <f t="shared" ref="L12:P12" si="2">+SUM(L7:L10)</f>
        <v>165.74799999999999</v>
      </c>
      <c r="M12" s="22">
        <f t="shared" si="2"/>
        <v>181.059</v>
      </c>
      <c r="N12" s="22">
        <f>+SUM(N7:N10)</f>
        <v>267.62</v>
      </c>
      <c r="O12" s="22">
        <f>+SUM(O7:O10)</f>
        <v>293.79000000000002</v>
      </c>
      <c r="P12" s="22">
        <f>+P3+P4</f>
        <v>292.7</v>
      </c>
      <c r="Q12" s="22">
        <f t="shared" ref="Q12:R12" si="3">+P12*1.07</f>
        <v>313.18900000000002</v>
      </c>
      <c r="R12" s="22">
        <f>+Q12*1.07</f>
        <v>335.11223000000007</v>
      </c>
      <c r="S12" s="22">
        <f>+R12*1.09</f>
        <v>365.27233070000011</v>
      </c>
      <c r="T12" s="22">
        <f>+S12*1.06</f>
        <v>387.18867054200012</v>
      </c>
      <c r="U12" s="22">
        <f t="shared" ref="U12:V12" si="4">+T12*1.06</f>
        <v>410.41999077452016</v>
      </c>
      <c r="V12" s="22">
        <f t="shared" si="4"/>
        <v>435.0451902209914</v>
      </c>
      <c r="X12" s="1" t="s">
        <v>71</v>
      </c>
      <c r="Y12" s="24">
        <v>0.1</v>
      </c>
    </row>
    <row r="13" spans="2:25" x14ac:dyDescent="0.2">
      <c r="B13" s="1" t="s">
        <v>40</v>
      </c>
      <c r="C13" s="3">
        <v>9.0090000000000003</v>
      </c>
      <c r="D13" s="3">
        <v>9.1180000000000003</v>
      </c>
      <c r="E13" s="3">
        <v>10.529</v>
      </c>
      <c r="F13" s="3">
        <v>10.346</v>
      </c>
      <c r="G13" s="3">
        <v>10.359</v>
      </c>
      <c r="H13" s="3">
        <v>9.9190000000000005</v>
      </c>
      <c r="I13" s="3">
        <v>10.506</v>
      </c>
      <c r="J13" s="3"/>
      <c r="L13" s="3">
        <v>22.908999999999999</v>
      </c>
      <c r="M13" s="3">
        <v>24.937000000000001</v>
      </c>
      <c r="N13" s="3">
        <v>36.009</v>
      </c>
      <c r="O13" s="3">
        <v>39.002000000000002</v>
      </c>
      <c r="P13" s="3">
        <f>+P12*0.14</f>
        <v>40.978000000000002</v>
      </c>
      <c r="Q13" s="3">
        <f t="shared" ref="Q13:V13" si="5">+Q12*0.14</f>
        <v>43.846460000000008</v>
      </c>
      <c r="R13" s="3">
        <f>+R12*0.135</f>
        <v>45.240151050000009</v>
      </c>
      <c r="S13" s="3">
        <f t="shared" ref="S13:V13" si="6">+S12*0.135</f>
        <v>49.311764644500016</v>
      </c>
      <c r="T13" s="3">
        <f t="shared" si="6"/>
        <v>52.270470523170019</v>
      </c>
      <c r="U13" s="3">
        <f t="shared" si="6"/>
        <v>55.406698754560225</v>
      </c>
      <c r="V13" s="3">
        <f t="shared" si="6"/>
        <v>58.731100679833844</v>
      </c>
      <c r="X13" s="1" t="s">
        <v>72</v>
      </c>
      <c r="Y13" s="24">
        <v>0.02</v>
      </c>
    </row>
    <row r="14" spans="2:25" x14ac:dyDescent="0.2">
      <c r="B14" s="1" t="s">
        <v>41</v>
      </c>
      <c r="C14" s="3">
        <f t="shared" ref="C14:H14" si="7">+C12-C13</f>
        <v>60.959000000000003</v>
      </c>
      <c r="D14" s="3">
        <f t="shared" si="7"/>
        <v>62.398999999999994</v>
      </c>
      <c r="E14" s="3">
        <f t="shared" si="7"/>
        <v>66.52600000000001</v>
      </c>
      <c r="F14" s="3">
        <f t="shared" si="7"/>
        <v>64.903999999999996</v>
      </c>
      <c r="G14" s="3">
        <f t="shared" si="7"/>
        <v>63.547999999999995</v>
      </c>
      <c r="H14" s="3">
        <f t="shared" si="7"/>
        <v>62.36399999999999</v>
      </c>
      <c r="I14" s="3">
        <f>+I12-I13</f>
        <v>65.673999999999992</v>
      </c>
      <c r="J14" s="3">
        <f t="shared" ref="J14" si="8">+J12-J13</f>
        <v>0</v>
      </c>
      <c r="L14" s="3">
        <f t="shared" ref="L14" si="9">+L12-L13</f>
        <v>142.839</v>
      </c>
      <c r="M14" s="3">
        <f t="shared" ref="M14" si="10">+M12-M13</f>
        <v>156.12199999999999</v>
      </c>
      <c r="N14" s="3">
        <f t="shared" ref="N14" si="11">+N12-N13</f>
        <v>231.61099999999999</v>
      </c>
      <c r="O14" s="3">
        <f t="shared" ref="O14" si="12">+O12-O13</f>
        <v>254.78800000000001</v>
      </c>
      <c r="P14" s="3">
        <f t="shared" ref="P14" si="13">+P12-P13</f>
        <v>251.72199999999998</v>
      </c>
      <c r="Q14" s="3">
        <f t="shared" ref="Q14" si="14">+Q12-Q13</f>
        <v>269.34253999999999</v>
      </c>
      <c r="R14" s="3">
        <f t="shared" ref="R14" si="15">+R12-R13</f>
        <v>289.87207895000006</v>
      </c>
      <c r="S14" s="3">
        <f t="shared" ref="S14" si="16">+S12-S13</f>
        <v>315.96056605550007</v>
      </c>
      <c r="T14" s="3">
        <f t="shared" ref="T14" si="17">+T12-T13</f>
        <v>334.91820001883013</v>
      </c>
      <c r="U14" s="3">
        <f t="shared" ref="U14" si="18">+U12-U13</f>
        <v>355.01329201995992</v>
      </c>
      <c r="V14" s="3">
        <f t="shared" ref="V14" si="19">+V12-V13</f>
        <v>376.31408954115756</v>
      </c>
      <c r="X14" s="1" t="s">
        <v>73</v>
      </c>
      <c r="Y14" s="24">
        <v>0.05</v>
      </c>
    </row>
    <row r="15" spans="2:25" x14ac:dyDescent="0.2">
      <c r="B15" s="1" t="s">
        <v>42</v>
      </c>
      <c r="C15" s="3">
        <v>18.675999999999998</v>
      </c>
      <c r="D15" s="3">
        <v>19.428000000000001</v>
      </c>
      <c r="E15" s="3">
        <v>20.577999999999999</v>
      </c>
      <c r="F15" s="3">
        <v>20.818000000000001</v>
      </c>
      <c r="G15" s="3">
        <v>21.332000000000001</v>
      </c>
      <c r="H15" s="3">
        <v>20.975000000000001</v>
      </c>
      <c r="I15" s="3">
        <v>20.992000000000001</v>
      </c>
      <c r="J15" s="3"/>
      <c r="L15" s="3">
        <v>44.546999999999997</v>
      </c>
      <c r="M15" s="3">
        <v>49.832999999999998</v>
      </c>
      <c r="N15" s="3">
        <v>68.447000000000003</v>
      </c>
      <c r="O15" s="3">
        <v>79.5</v>
      </c>
      <c r="P15" s="3">
        <f>+P12*0.27</f>
        <v>79.028999999999996</v>
      </c>
      <c r="Q15" s="3">
        <f>+Q12*0.265</f>
        <v>82.995085000000003</v>
      </c>
      <c r="R15" s="3">
        <f>+R12*0.26</f>
        <v>87.129179800000017</v>
      </c>
      <c r="S15" s="3">
        <f t="shared" ref="S15:V15" si="20">+S12*0.26</f>
        <v>94.97080598200003</v>
      </c>
      <c r="T15" s="3">
        <f t="shared" si="20"/>
        <v>100.66905434092004</v>
      </c>
      <c r="U15" s="3">
        <f t="shared" si="20"/>
        <v>106.70919760137525</v>
      </c>
      <c r="V15" s="3">
        <f t="shared" si="20"/>
        <v>113.11174945745776</v>
      </c>
      <c r="X15" s="1" t="s">
        <v>74</v>
      </c>
      <c r="Y15" s="29">
        <f>+NPV(Y12,P24:CH24)+main!L6-main!L7</f>
        <v>712.22351766894394</v>
      </c>
    </row>
    <row r="16" spans="2:25" x14ac:dyDescent="0.2">
      <c r="B16" s="1" t="s">
        <v>43</v>
      </c>
      <c r="C16" s="3">
        <v>22.731999999999999</v>
      </c>
      <c r="D16" s="3">
        <v>22.026</v>
      </c>
      <c r="E16" s="3">
        <v>23.803000000000001</v>
      </c>
      <c r="F16" s="3">
        <v>24.463000000000001</v>
      </c>
      <c r="G16" s="3">
        <v>25.201000000000001</v>
      </c>
      <c r="H16" s="3">
        <v>24.652999999999999</v>
      </c>
      <c r="I16" s="3">
        <v>25.056999999999999</v>
      </c>
      <c r="J16" s="3"/>
      <c r="L16" s="3">
        <v>53.823999999999998</v>
      </c>
      <c r="M16" s="3">
        <v>59.896000000000001</v>
      </c>
      <c r="N16" s="3">
        <v>78.846999999999994</v>
      </c>
      <c r="O16" s="3">
        <v>93.024000000000001</v>
      </c>
      <c r="P16" s="3">
        <f>+P12*0.335</f>
        <v>98.054500000000004</v>
      </c>
      <c r="Q16" s="3">
        <f>+Q12*0.32</f>
        <v>100.22048000000001</v>
      </c>
      <c r="R16" s="3">
        <f>+R12*0.31</f>
        <v>103.88479130000002</v>
      </c>
      <c r="S16" s="3">
        <f t="shared" ref="S16:V16" si="21">+S12*0.31</f>
        <v>113.23442251700003</v>
      </c>
      <c r="T16" s="3">
        <f t="shared" si="21"/>
        <v>120.02848786802004</v>
      </c>
      <c r="U16" s="3">
        <f t="shared" si="21"/>
        <v>127.23019714010125</v>
      </c>
      <c r="V16" s="3">
        <f t="shared" si="21"/>
        <v>134.86400896850733</v>
      </c>
      <c r="X16" s="1" t="s">
        <v>1</v>
      </c>
      <c r="Y16" s="30">
        <f>+Y15/I25</f>
        <v>76.757148559508579</v>
      </c>
    </row>
    <row r="17" spans="2:86" x14ac:dyDescent="0.2">
      <c r="B17" s="1" t="s">
        <v>44</v>
      </c>
      <c r="C17" s="3">
        <v>3.3069999999999999</v>
      </c>
      <c r="D17" s="3">
        <v>3.76</v>
      </c>
      <c r="E17" s="3">
        <v>4.0410000000000004</v>
      </c>
      <c r="F17" s="3">
        <v>4.0430000000000001</v>
      </c>
      <c r="G17" s="3">
        <v>3.8530000000000002</v>
      </c>
      <c r="H17" s="3">
        <v>3.8839999999999999</v>
      </c>
      <c r="I17" s="3">
        <v>3.9009999999999998</v>
      </c>
      <c r="J17" s="3"/>
      <c r="L17" s="3">
        <v>7.7220000000000004</v>
      </c>
      <c r="M17" s="3">
        <v>9.0719999999999992</v>
      </c>
      <c r="N17" s="3">
        <v>12.391</v>
      </c>
      <c r="O17" s="3">
        <v>15.151</v>
      </c>
      <c r="P17" s="3">
        <f t="shared" ref="P17:V17" si="22">+O17*1.03</f>
        <v>15.60553</v>
      </c>
      <c r="Q17" s="3">
        <f t="shared" si="22"/>
        <v>16.073695900000001</v>
      </c>
      <c r="R17" s="3">
        <f t="shared" si="22"/>
        <v>16.555906777000001</v>
      </c>
      <c r="S17" s="3">
        <f t="shared" si="22"/>
        <v>17.052583980310001</v>
      </c>
      <c r="T17" s="3">
        <f t="shared" si="22"/>
        <v>17.564161499719301</v>
      </c>
      <c r="U17" s="3">
        <f t="shared" si="22"/>
        <v>18.091086344710881</v>
      </c>
      <c r="V17" s="3">
        <f t="shared" si="22"/>
        <v>18.633818935052208</v>
      </c>
    </row>
    <row r="18" spans="2:86" x14ac:dyDescent="0.2">
      <c r="B18" s="1" t="s">
        <v>38</v>
      </c>
      <c r="C18" s="3">
        <v>-0.65400000000000003</v>
      </c>
      <c r="D18" s="3">
        <v>3.758</v>
      </c>
      <c r="E18" s="3">
        <v>2.589</v>
      </c>
      <c r="F18" s="3">
        <v>9.9359999999999999</v>
      </c>
      <c r="G18" s="3">
        <v>-3.0000000000000001E-3</v>
      </c>
      <c r="H18" s="3">
        <v>8.1950000000000003</v>
      </c>
      <c r="I18" s="3">
        <v>18.260000000000002</v>
      </c>
      <c r="J18" s="3"/>
      <c r="L18" s="3">
        <v>9.1839999999999993</v>
      </c>
      <c r="M18" s="3">
        <v>2.62</v>
      </c>
      <c r="N18" s="3">
        <v>0.46700000000000003</v>
      </c>
      <c r="O18" s="3">
        <v>15.629</v>
      </c>
      <c r="P18" s="3"/>
      <c r="Q18" s="3"/>
      <c r="R18" s="3"/>
      <c r="S18" s="3"/>
      <c r="T18" s="3"/>
      <c r="U18" s="3"/>
      <c r="V18" s="3"/>
    </row>
    <row r="19" spans="2:86" x14ac:dyDescent="0.2">
      <c r="B19" s="1" t="s">
        <v>45</v>
      </c>
      <c r="C19" s="3">
        <f t="shared" ref="C19:H19" si="23">+SUM(C15:C18)</f>
        <v>44.061</v>
      </c>
      <c r="D19" s="3">
        <f t="shared" si="23"/>
        <v>48.972000000000001</v>
      </c>
      <c r="E19" s="3">
        <f t="shared" si="23"/>
        <v>51.010999999999996</v>
      </c>
      <c r="F19" s="3">
        <f t="shared" si="23"/>
        <v>59.260000000000005</v>
      </c>
      <c r="G19" s="3">
        <f t="shared" si="23"/>
        <v>50.383000000000003</v>
      </c>
      <c r="H19" s="3">
        <f t="shared" si="23"/>
        <v>57.707000000000001</v>
      </c>
      <c r="I19" s="3">
        <f>+SUM(I15:I18)</f>
        <v>68.210000000000008</v>
      </c>
      <c r="J19" s="3">
        <f t="shared" ref="J19" si="24">+SUM(J15:J18)</f>
        <v>0</v>
      </c>
      <c r="L19" s="3">
        <f t="shared" ref="L19" si="25">+SUM(L15:L18)</f>
        <v>115.27699999999999</v>
      </c>
      <c r="M19" s="3">
        <f t="shared" ref="M19" si="26">+SUM(M15:M18)</f>
        <v>121.42100000000001</v>
      </c>
      <c r="N19" s="3">
        <f t="shared" ref="N19" si="27">+SUM(N15:N18)</f>
        <v>160.15199999999999</v>
      </c>
      <c r="O19" s="3">
        <f t="shared" ref="O19" si="28">+SUM(O15:O18)</f>
        <v>203.304</v>
      </c>
      <c r="P19" s="3">
        <f t="shared" ref="P19" si="29">+SUM(P15:P18)</f>
        <v>192.68903</v>
      </c>
      <c r="Q19" s="3">
        <f t="shared" ref="Q19" si="30">+SUM(Q15:Q18)</f>
        <v>199.28926090000002</v>
      </c>
      <c r="R19" s="3">
        <f t="shared" ref="R19" si="31">+SUM(R15:R18)</f>
        <v>207.56987787700004</v>
      </c>
      <c r="S19" s="3">
        <f t="shared" ref="S19" si="32">+SUM(S15:S18)</f>
        <v>225.25781247931005</v>
      </c>
      <c r="T19" s="3">
        <f t="shared" ref="T19" si="33">+SUM(T15:T18)</f>
        <v>238.26170370865938</v>
      </c>
      <c r="U19" s="3">
        <f t="shared" ref="U19" si="34">+SUM(U15:U18)</f>
        <v>252.03048108618739</v>
      </c>
      <c r="V19" s="3">
        <f t="shared" ref="V19" si="35">+SUM(V15:V18)</f>
        <v>266.60957736101733</v>
      </c>
    </row>
    <row r="20" spans="2:86" x14ac:dyDescent="0.2">
      <c r="B20" s="21" t="s">
        <v>46</v>
      </c>
      <c r="C20" s="22">
        <f t="shared" ref="C20:H20" si="36">+C14-C19</f>
        <v>16.898000000000003</v>
      </c>
      <c r="D20" s="22">
        <f t="shared" si="36"/>
        <v>13.426999999999992</v>
      </c>
      <c r="E20" s="22">
        <f t="shared" si="36"/>
        <v>15.515000000000015</v>
      </c>
      <c r="F20" s="22">
        <f t="shared" si="36"/>
        <v>5.6439999999999912</v>
      </c>
      <c r="G20" s="22">
        <f t="shared" si="36"/>
        <v>13.164999999999992</v>
      </c>
      <c r="H20" s="22">
        <f t="shared" si="36"/>
        <v>4.6569999999999894</v>
      </c>
      <c r="I20" s="22">
        <f>+I14-I19</f>
        <v>-2.5360000000000156</v>
      </c>
      <c r="J20" s="22">
        <f t="shared" ref="J20" si="37">+J14-J19</f>
        <v>0</v>
      </c>
      <c r="K20" s="21"/>
      <c r="L20" s="22">
        <f t="shared" ref="L20" si="38">+L14-L19</f>
        <v>27.562000000000012</v>
      </c>
      <c r="M20" s="22">
        <f t="shared" ref="M20" si="39">+M14-M19</f>
        <v>34.700999999999979</v>
      </c>
      <c r="N20" s="22">
        <f t="shared" ref="N20" si="40">+N14-N19</f>
        <v>71.459000000000003</v>
      </c>
      <c r="O20" s="22">
        <f t="shared" ref="O20" si="41">+O14-O19</f>
        <v>51.484000000000009</v>
      </c>
      <c r="P20" s="22">
        <f t="shared" ref="P20" si="42">+P14-P19</f>
        <v>59.032969999999978</v>
      </c>
      <c r="Q20" s="22">
        <f t="shared" ref="Q20" si="43">+Q14-Q19</f>
        <v>70.053279099999969</v>
      </c>
      <c r="R20" s="22">
        <f t="shared" ref="R20" si="44">+R14-R19</f>
        <v>82.30220107300002</v>
      </c>
      <c r="S20" s="22">
        <f t="shared" ref="S20" si="45">+S14-S19</f>
        <v>90.70275357619002</v>
      </c>
      <c r="T20" s="22">
        <f t="shared" ref="T20" si="46">+T14-T19</f>
        <v>96.656496310170752</v>
      </c>
      <c r="U20" s="22">
        <f t="shared" ref="U20" si="47">+U14-U19</f>
        <v>102.98281093377253</v>
      </c>
      <c r="V20" s="22">
        <f t="shared" ref="V20" si="48">+V14-V19</f>
        <v>109.70451218014023</v>
      </c>
    </row>
    <row r="21" spans="2:86" x14ac:dyDescent="0.2">
      <c r="B21" s="1" t="s">
        <v>47</v>
      </c>
      <c r="C21" s="3">
        <f>-3.687+0.091</f>
        <v>-3.5959999999999996</v>
      </c>
      <c r="D21" s="3">
        <f>-3.677+0.09</f>
        <v>-3.5870000000000002</v>
      </c>
      <c r="E21" s="3">
        <f>-4.316+0.087</f>
        <v>-4.2290000000000001</v>
      </c>
      <c r="F21" s="3">
        <f>-4.246+0.12</f>
        <v>-4.1260000000000003</v>
      </c>
      <c r="G21" s="3">
        <f>-4.216+0.094</f>
        <v>-4.1219999999999999</v>
      </c>
      <c r="H21" s="3">
        <f>-3.999+0.096</f>
        <v>-3.903</v>
      </c>
      <c r="I21" s="3">
        <f>-4.24+0.13</f>
        <v>-4.1100000000000003</v>
      </c>
      <c r="J21" s="3"/>
      <c r="L21" s="3">
        <f>-9.954+0.234</f>
        <v>-9.7200000000000006</v>
      </c>
      <c r="M21" s="3">
        <f>-10.209+0.309-0.612</f>
        <v>-10.512</v>
      </c>
      <c r="N21" s="3">
        <f>-11.95+0.622</f>
        <v>-11.327999999999999</v>
      </c>
      <c r="O21" s="3">
        <f>-15.926+0.388</f>
        <v>-15.538</v>
      </c>
      <c r="P21" s="3">
        <f>+O21*1.05</f>
        <v>-16.314900000000002</v>
      </c>
      <c r="Q21" s="3">
        <f>+P53*$Y$14</f>
        <v>-8.8139272000000002</v>
      </c>
      <c r="R21" s="3">
        <f t="shared" ref="R21:V21" si="49">+Q53*$Y$14</f>
        <v>-6.3643531240000017</v>
      </c>
      <c r="S21" s="3">
        <f t="shared" si="49"/>
        <v>-3.3268392060400012</v>
      </c>
      <c r="T21" s="3">
        <f t="shared" si="49"/>
        <v>0.16819736876599978</v>
      </c>
      <c r="U21" s="3">
        <f t="shared" si="49"/>
        <v>4.0411851159234704</v>
      </c>
      <c r="V21" s="3">
        <f t="shared" si="49"/>
        <v>8.3221449579113109</v>
      </c>
    </row>
    <row r="22" spans="2:86" x14ac:dyDescent="0.2">
      <c r="B22" s="1" t="s">
        <v>48</v>
      </c>
      <c r="C22" s="3">
        <f t="shared" ref="C22:H22" si="50">+C20+C21</f>
        <v>13.302000000000003</v>
      </c>
      <c r="D22" s="3">
        <f>+D20+D21</f>
        <v>9.8399999999999928</v>
      </c>
      <c r="E22" s="3">
        <f t="shared" si="50"/>
        <v>11.286000000000016</v>
      </c>
      <c r="F22" s="3">
        <f t="shared" si="50"/>
        <v>1.5179999999999909</v>
      </c>
      <c r="G22" s="3">
        <f t="shared" si="50"/>
        <v>9.0429999999999922</v>
      </c>
      <c r="H22" s="3">
        <f t="shared" si="50"/>
        <v>0.75399999999998935</v>
      </c>
      <c r="I22" s="3">
        <f>+I20+I21</f>
        <v>-6.6460000000000159</v>
      </c>
      <c r="J22" s="3">
        <f t="shared" ref="J22" si="51">+J20+J21</f>
        <v>0</v>
      </c>
      <c r="L22" s="3">
        <f t="shared" ref="L22" si="52">+L20+L21</f>
        <v>17.842000000000013</v>
      </c>
      <c r="M22" s="3">
        <f t="shared" ref="M22" si="53">+M20+M21</f>
        <v>24.188999999999979</v>
      </c>
      <c r="N22" s="3">
        <f t="shared" ref="N22" si="54">+N20+N21</f>
        <v>60.131</v>
      </c>
      <c r="O22" s="3">
        <f t="shared" ref="O22" si="55">+O20+O21</f>
        <v>35.946000000000012</v>
      </c>
      <c r="P22" s="3">
        <f t="shared" ref="P22" si="56">+P20+P21</f>
        <v>42.718069999999976</v>
      </c>
      <c r="Q22" s="3">
        <f t="shared" ref="Q22" si="57">+Q20+Q21</f>
        <v>61.239351899999967</v>
      </c>
      <c r="R22" s="3">
        <f t="shared" ref="R22" si="58">+R20+R21</f>
        <v>75.937847949000016</v>
      </c>
      <c r="S22" s="3">
        <f t="shared" ref="S22" si="59">+S20+S21</f>
        <v>87.375914370150014</v>
      </c>
      <c r="T22" s="3">
        <f t="shared" ref="T22" si="60">+T20+T21</f>
        <v>96.824693678936754</v>
      </c>
      <c r="U22" s="3">
        <f t="shared" ref="U22" si="61">+U20+U21</f>
        <v>107.023996049696</v>
      </c>
      <c r="V22" s="3">
        <f t="shared" ref="V22" si="62">+V20+V21</f>
        <v>118.02665713805153</v>
      </c>
    </row>
    <row r="23" spans="2:86" x14ac:dyDescent="0.2">
      <c r="B23" s="1" t="s">
        <v>49</v>
      </c>
      <c r="C23" s="3">
        <v>3.0310000000000001</v>
      </c>
      <c r="D23" s="3">
        <v>2.1469999999999998</v>
      </c>
      <c r="E23" s="3">
        <v>2.2690000000000001</v>
      </c>
      <c r="F23" s="3">
        <v>-0.60099999999999998</v>
      </c>
      <c r="G23" s="3">
        <v>1.7989999999999999</v>
      </c>
      <c r="H23" s="3">
        <v>5.0000000000000001E-3</v>
      </c>
      <c r="I23" s="3">
        <v>-1.4259999999999999</v>
      </c>
      <c r="J23" s="3"/>
      <c r="L23" s="3">
        <v>-3.1179999999999999</v>
      </c>
      <c r="M23" s="3">
        <v>4.8630000000000004</v>
      </c>
      <c r="N23" s="3">
        <v>14.071</v>
      </c>
      <c r="O23" s="3">
        <v>6.8460000000000001</v>
      </c>
      <c r="P23" s="3">
        <f>+P22*0.2</f>
        <v>8.5436139999999963</v>
      </c>
      <c r="Q23" s="3">
        <f t="shared" ref="Q23:V23" si="63">+Q22*0.2</f>
        <v>12.247870379999995</v>
      </c>
      <c r="R23" s="3">
        <f t="shared" si="63"/>
        <v>15.187569589800004</v>
      </c>
      <c r="S23" s="3">
        <f t="shared" si="63"/>
        <v>17.475182874030004</v>
      </c>
      <c r="T23" s="3">
        <f t="shared" si="63"/>
        <v>19.364938735787351</v>
      </c>
      <c r="U23" s="3">
        <f t="shared" si="63"/>
        <v>21.404799209939199</v>
      </c>
      <c r="V23" s="3">
        <f t="shared" si="63"/>
        <v>23.605331427610309</v>
      </c>
    </row>
    <row r="24" spans="2:86" x14ac:dyDescent="0.2">
      <c r="B24" s="21" t="s">
        <v>50</v>
      </c>
      <c r="C24" s="22">
        <f t="shared" ref="C24:H24" si="64">+C22-C23</f>
        <v>10.271000000000003</v>
      </c>
      <c r="D24" s="22">
        <f t="shared" si="64"/>
        <v>7.6929999999999925</v>
      </c>
      <c r="E24" s="22">
        <f t="shared" si="64"/>
        <v>9.0170000000000154</v>
      </c>
      <c r="F24" s="22">
        <f t="shared" si="64"/>
        <v>2.1189999999999909</v>
      </c>
      <c r="G24" s="22">
        <f t="shared" si="64"/>
        <v>7.2439999999999927</v>
      </c>
      <c r="H24" s="22">
        <f t="shared" si="64"/>
        <v>0.74899999999998934</v>
      </c>
      <c r="I24" s="22">
        <f>+I22-I23</f>
        <v>-5.2200000000000157</v>
      </c>
      <c r="J24" s="22">
        <f t="shared" ref="J24" si="65">+J22-J23</f>
        <v>0</v>
      </c>
      <c r="K24" s="21"/>
      <c r="L24" s="22">
        <f t="shared" ref="L24" si="66">+L22-L23</f>
        <v>20.960000000000012</v>
      </c>
      <c r="M24" s="22">
        <f t="shared" ref="M24" si="67">+M22-M23</f>
        <v>19.325999999999979</v>
      </c>
      <c r="N24" s="22">
        <f t="shared" ref="N24" si="68">+N22-N23</f>
        <v>46.06</v>
      </c>
      <c r="O24" s="22">
        <f t="shared" ref="O24" si="69">+O22-O23</f>
        <v>29.100000000000012</v>
      </c>
      <c r="P24" s="22">
        <f t="shared" ref="P24" si="70">+P22-P23</f>
        <v>34.174455999999978</v>
      </c>
      <c r="Q24" s="22">
        <f t="shared" ref="Q24" si="71">+Q22-Q23</f>
        <v>48.991481519999972</v>
      </c>
      <c r="R24" s="22">
        <f t="shared" ref="R24" si="72">+R22-R23</f>
        <v>60.75027835920001</v>
      </c>
      <c r="S24" s="22">
        <f t="shared" ref="S24" si="73">+S22-S23</f>
        <v>69.900731496120017</v>
      </c>
      <c r="T24" s="22">
        <f t="shared" ref="T24" si="74">+T22-T23</f>
        <v>77.459754943149406</v>
      </c>
      <c r="U24" s="22">
        <f t="shared" ref="U24" si="75">+U22-U23</f>
        <v>85.619196839756796</v>
      </c>
      <c r="V24" s="22">
        <f t="shared" ref="V24" si="76">+V22-V23</f>
        <v>94.421325710441224</v>
      </c>
      <c r="W24" s="22">
        <f>+V24*(1+$Y$13)</f>
        <v>96.309752224650055</v>
      </c>
      <c r="X24" s="22">
        <f t="shared" ref="X24:CH24" si="77">+W24*(1+$Y$13)</f>
        <v>98.235947269143054</v>
      </c>
      <c r="Y24" s="22">
        <f t="shared" si="77"/>
        <v>100.20066621452591</v>
      </c>
      <c r="Z24" s="22">
        <f t="shared" si="77"/>
        <v>102.20467953881644</v>
      </c>
      <c r="AA24" s="22">
        <f t="shared" si="77"/>
        <v>104.24877312959276</v>
      </c>
      <c r="AB24" s="22">
        <f t="shared" si="77"/>
        <v>106.33374859218462</v>
      </c>
      <c r="AC24" s="22">
        <f t="shared" si="77"/>
        <v>108.46042356402832</v>
      </c>
      <c r="AD24" s="22">
        <f t="shared" si="77"/>
        <v>110.62963203530889</v>
      </c>
      <c r="AE24" s="22">
        <f t="shared" si="77"/>
        <v>112.84222467601506</v>
      </c>
      <c r="AF24" s="22">
        <f t="shared" si="77"/>
        <v>115.09906916953537</v>
      </c>
      <c r="AG24" s="22">
        <f t="shared" si="77"/>
        <v>117.40105055292608</v>
      </c>
      <c r="AH24" s="22">
        <f t="shared" si="77"/>
        <v>119.7490715639846</v>
      </c>
      <c r="AI24" s="22">
        <f t="shared" si="77"/>
        <v>122.14405299526429</v>
      </c>
      <c r="AJ24" s="22">
        <f t="shared" si="77"/>
        <v>124.58693405516958</v>
      </c>
      <c r="AK24" s="22">
        <f t="shared" si="77"/>
        <v>127.07867273627298</v>
      </c>
      <c r="AL24" s="22">
        <f t="shared" si="77"/>
        <v>129.62024619099844</v>
      </c>
      <c r="AM24" s="22">
        <f t="shared" si="77"/>
        <v>132.21265111481841</v>
      </c>
      <c r="AN24" s="22">
        <f t="shared" si="77"/>
        <v>134.85690413711478</v>
      </c>
      <c r="AO24" s="22">
        <f t="shared" si="77"/>
        <v>137.55404221985708</v>
      </c>
      <c r="AP24" s="22">
        <f t="shared" si="77"/>
        <v>140.30512306425422</v>
      </c>
      <c r="AQ24" s="22">
        <f t="shared" si="77"/>
        <v>143.11122552553931</v>
      </c>
      <c r="AR24" s="22">
        <f t="shared" si="77"/>
        <v>145.97345003605011</v>
      </c>
      <c r="AS24" s="22">
        <f t="shared" si="77"/>
        <v>148.8929190367711</v>
      </c>
      <c r="AT24" s="22">
        <f t="shared" si="77"/>
        <v>151.87077741750653</v>
      </c>
      <c r="AU24" s="22">
        <f t="shared" si="77"/>
        <v>154.90819296585667</v>
      </c>
      <c r="AV24" s="22">
        <f t="shared" si="77"/>
        <v>158.00635682517381</v>
      </c>
      <c r="AW24" s="22">
        <f t="shared" si="77"/>
        <v>161.1664839616773</v>
      </c>
      <c r="AX24" s="22">
        <f t="shared" si="77"/>
        <v>164.38981364091086</v>
      </c>
      <c r="AY24" s="22">
        <f t="shared" si="77"/>
        <v>167.67760991372907</v>
      </c>
      <c r="AZ24" s="22">
        <f t="shared" si="77"/>
        <v>171.03116211200364</v>
      </c>
      <c r="BA24" s="22">
        <f t="shared" si="77"/>
        <v>174.45178535424373</v>
      </c>
      <c r="BB24" s="22">
        <f t="shared" si="77"/>
        <v>177.94082106132859</v>
      </c>
      <c r="BC24" s="22">
        <f t="shared" si="77"/>
        <v>181.49963748255516</v>
      </c>
      <c r="BD24" s="22">
        <f t="shared" si="77"/>
        <v>185.12963023220627</v>
      </c>
      <c r="BE24" s="22">
        <f t="shared" si="77"/>
        <v>188.83222283685041</v>
      </c>
      <c r="BF24" s="22">
        <f t="shared" si="77"/>
        <v>192.60886729358742</v>
      </c>
      <c r="BG24" s="22">
        <f t="shared" si="77"/>
        <v>196.46104463945917</v>
      </c>
      <c r="BH24" s="22">
        <f t="shared" si="77"/>
        <v>200.39026553224835</v>
      </c>
      <c r="BI24" s="22">
        <f t="shared" si="77"/>
        <v>204.39807084289333</v>
      </c>
      <c r="BJ24" s="22">
        <f t="shared" si="77"/>
        <v>208.4860322597512</v>
      </c>
      <c r="BK24" s="22">
        <f t="shared" si="77"/>
        <v>212.65575290494621</v>
      </c>
      <c r="BL24" s="22">
        <f t="shared" si="77"/>
        <v>216.90886796304514</v>
      </c>
      <c r="BM24" s="22">
        <f t="shared" si="77"/>
        <v>221.24704532230604</v>
      </c>
      <c r="BN24" s="22">
        <f t="shared" si="77"/>
        <v>225.67198622875216</v>
      </c>
      <c r="BO24" s="22">
        <f t="shared" si="77"/>
        <v>230.18542595332721</v>
      </c>
      <c r="BP24" s="22">
        <f t="shared" si="77"/>
        <v>234.78913447239376</v>
      </c>
      <c r="BQ24" s="22">
        <f t="shared" si="77"/>
        <v>239.48491716184162</v>
      </c>
      <c r="BR24" s="22">
        <f t="shared" si="77"/>
        <v>244.27461550507846</v>
      </c>
      <c r="BS24" s="22">
        <f t="shared" si="77"/>
        <v>249.16010781518003</v>
      </c>
      <c r="BT24" s="22">
        <f t="shared" si="77"/>
        <v>254.14330997148363</v>
      </c>
      <c r="BU24" s="22">
        <f t="shared" si="77"/>
        <v>259.22617617091333</v>
      </c>
      <c r="BV24" s="22">
        <f t="shared" si="77"/>
        <v>264.41069969433158</v>
      </c>
      <c r="BW24" s="22">
        <f t="shared" si="77"/>
        <v>269.69891368821823</v>
      </c>
      <c r="BX24" s="22">
        <f t="shared" si="77"/>
        <v>275.09289196198262</v>
      </c>
      <c r="BY24" s="22">
        <f t="shared" si="77"/>
        <v>280.59474980122229</v>
      </c>
      <c r="BZ24" s="22">
        <f t="shared" si="77"/>
        <v>286.20664479724672</v>
      </c>
      <c r="CA24" s="22">
        <f t="shared" si="77"/>
        <v>291.93077769319166</v>
      </c>
      <c r="CB24" s="22">
        <f t="shared" si="77"/>
        <v>297.76939324705552</v>
      </c>
      <c r="CC24" s="22">
        <f t="shared" si="77"/>
        <v>303.72478111199661</v>
      </c>
      <c r="CD24" s="22">
        <f t="shared" si="77"/>
        <v>309.79927673423657</v>
      </c>
      <c r="CE24" s="22">
        <f t="shared" si="77"/>
        <v>315.99526226892129</v>
      </c>
      <c r="CF24" s="22">
        <f t="shared" si="77"/>
        <v>322.31516751429973</v>
      </c>
      <c r="CG24" s="22">
        <f t="shared" si="77"/>
        <v>328.7614708645857</v>
      </c>
      <c r="CH24" s="22">
        <f t="shared" si="77"/>
        <v>335.33670028187743</v>
      </c>
    </row>
    <row r="25" spans="2:86" x14ac:dyDescent="0.2">
      <c r="B25" s="1" t="s">
        <v>2</v>
      </c>
      <c r="C25" s="1">
        <v>9.2302579999999992</v>
      </c>
      <c r="D25" s="1">
        <v>9.2657810000000005</v>
      </c>
      <c r="E25" s="1">
        <v>9.4302250000000001</v>
      </c>
      <c r="F25" s="1">
        <v>9.4171659999999999</v>
      </c>
      <c r="G25" s="1">
        <v>9.3671509999999998</v>
      </c>
      <c r="H25" s="1">
        <v>9.3502919999999996</v>
      </c>
      <c r="I25" s="1">
        <v>9.2789210000000004</v>
      </c>
      <c r="L25" s="1">
        <v>9.7189999999999994</v>
      </c>
      <c r="M25" s="1">
        <v>9.657</v>
      </c>
      <c r="N25" s="1">
        <v>9.383445</v>
      </c>
      <c r="O25" s="1">
        <v>9.3359830000000006</v>
      </c>
      <c r="P25" s="1">
        <v>9.3359830000000006</v>
      </c>
      <c r="Q25" s="1">
        <v>9.3359830000000006</v>
      </c>
      <c r="R25" s="1">
        <v>9.3359830000000006</v>
      </c>
      <c r="S25" s="1">
        <v>9.3359830000000006</v>
      </c>
      <c r="T25" s="1">
        <v>9.3359830000000006</v>
      </c>
      <c r="U25" s="1">
        <v>9.3359830000000006</v>
      </c>
      <c r="V25" s="1">
        <v>9.3359830000000006</v>
      </c>
    </row>
    <row r="26" spans="2:86" x14ac:dyDescent="0.2">
      <c r="B26" s="1" t="s">
        <v>51</v>
      </c>
      <c r="C26" s="23">
        <f t="shared" ref="C26:H26" si="78">+C24/C25</f>
        <v>1.1127532946533025</v>
      </c>
      <c r="D26" s="23">
        <f t="shared" si="78"/>
        <v>0.83025920858694935</v>
      </c>
      <c r="E26" s="23">
        <f t="shared" si="78"/>
        <v>0.95618079102036435</v>
      </c>
      <c r="F26" s="23">
        <f t="shared" si="78"/>
        <v>0.22501461692402905</v>
      </c>
      <c r="G26" s="23">
        <f t="shared" si="78"/>
        <v>0.77334079486921825</v>
      </c>
      <c r="H26" s="23">
        <f t="shared" si="78"/>
        <v>8.0104450213960093E-2</v>
      </c>
      <c r="I26" s="23">
        <f>+I24/I25</f>
        <v>-0.56256541035320973</v>
      </c>
      <c r="J26" s="23" t="e">
        <f t="shared" ref="J26" si="79">+J24/J25</f>
        <v>#DIV/0!</v>
      </c>
      <c r="K26" s="23"/>
      <c r="L26" s="23">
        <f t="shared" ref="L26" si="80">+L24/L25</f>
        <v>2.1566004732997235</v>
      </c>
      <c r="M26" s="23">
        <f t="shared" ref="M26" si="81">+M24/M25</f>
        <v>2.001242621932275</v>
      </c>
      <c r="N26" s="23">
        <f t="shared" ref="N26" si="82">+N24/N25</f>
        <v>4.9086449592873409</v>
      </c>
      <c r="O26" s="23">
        <f t="shared" ref="O26" si="83">+O24/O25</f>
        <v>3.1169722566975553</v>
      </c>
      <c r="P26" s="23">
        <f t="shared" ref="P26" si="84">+P24/P25</f>
        <v>3.6605096645955735</v>
      </c>
      <c r="Q26" s="23">
        <f t="shared" ref="Q26" si="85">+Q24/Q25</f>
        <v>5.2475975502526051</v>
      </c>
      <c r="R26" s="23">
        <f t="shared" ref="R26" si="86">+R24/R25</f>
        <v>6.5071110732742348</v>
      </c>
      <c r="S26" s="23">
        <f t="shared" ref="S26" si="87">+S24/S25</f>
        <v>7.4872385153357728</v>
      </c>
      <c r="T26" s="23">
        <f t="shared" ref="T26" si="88">+T24/T25</f>
        <v>8.2969040264050822</v>
      </c>
      <c r="U26" s="23">
        <f t="shared" ref="U26" si="89">+U24/U25</f>
        <v>9.1708818278436013</v>
      </c>
      <c r="V26" s="23">
        <f t="shared" ref="V26" si="90">+V24/V25</f>
        <v>10.113699404812671</v>
      </c>
    </row>
    <row r="27" spans="2:86" x14ac:dyDescent="0.2">
      <c r="I27" s="24"/>
    </row>
    <row r="28" spans="2:86" x14ac:dyDescent="0.2">
      <c r="B28" s="1" t="s">
        <v>62</v>
      </c>
      <c r="G28" s="25">
        <f t="shared" ref="G28:G29" si="91">+G3/C3-1</f>
        <v>8.3586329338659615E-2</v>
      </c>
      <c r="H28" s="25">
        <f t="shared" ref="H28:H29" si="92">+H3/D3-1</f>
        <v>4.1047851168662719E-2</v>
      </c>
      <c r="I28" s="25">
        <f>+I3/E3-1</f>
        <v>5.9888869317363813E-3</v>
      </c>
      <c r="M28" s="25">
        <f t="shared" ref="M28:O28" si="93">+M3/L3-1</f>
        <v>6.1016707125517655E-2</v>
      </c>
      <c r="N28" s="25">
        <f t="shared" si="93"/>
        <v>0.38790492981440861</v>
      </c>
      <c r="O28" s="25">
        <f t="shared" ref="O28:P29" si="94">+O3/N3-1</f>
        <v>0.14786352551017923</v>
      </c>
      <c r="P28" s="25">
        <f t="shared" si="94"/>
        <v>2.3028705627925028E-2</v>
      </c>
    </row>
    <row r="29" spans="2:86" x14ac:dyDescent="0.2">
      <c r="B29" s="1" t="s">
        <v>63</v>
      </c>
      <c r="G29" s="25">
        <f t="shared" si="91"/>
        <v>-5.2118233936415681E-2</v>
      </c>
      <c r="H29" s="25">
        <f t="shared" si="92"/>
        <v>-0.10785888927698206</v>
      </c>
      <c r="I29" s="25">
        <f t="shared" ref="I29" si="95">+I4/E4-1</f>
        <v>-8.7379315135097668E-2</v>
      </c>
      <c r="M29" s="25">
        <f t="shared" ref="M29:O29" si="96">+M4/L4-1</f>
        <v>0.27948866937826833</v>
      </c>
      <c r="N29" s="25">
        <f t="shared" si="96"/>
        <v>0.94384974698326185</v>
      </c>
      <c r="O29" s="25">
        <f t="shared" si="94"/>
        <v>-7.0120984564038369E-2</v>
      </c>
      <c r="P29" s="25">
        <f t="shared" si="94"/>
        <v>-9.3731493279256339E-2</v>
      </c>
    </row>
    <row r="30" spans="2:86" x14ac:dyDescent="0.2">
      <c r="B30" s="1" t="s">
        <v>27</v>
      </c>
      <c r="G30" s="25">
        <f t="shared" ref="G30:G32" si="97">+G7/C7-1</f>
        <v>0.12364249578414843</v>
      </c>
      <c r="H30" s="25">
        <f t="shared" ref="H30:H32" si="98">+H7/D7-1</f>
        <v>9.1949827448898347E-2</v>
      </c>
      <c r="I30" s="25">
        <f>+I7/E7-1</f>
        <v>8.5209803519661342E-3</v>
      </c>
      <c r="M30" s="25">
        <f t="shared" ref="M30:O30" si="99">+M7/L7-1</f>
        <v>8.709490740740744E-2</v>
      </c>
      <c r="N30" s="25">
        <f t="shared" si="99"/>
        <v>0.50806494543518776</v>
      </c>
      <c r="O30" s="25">
        <f>+O7/N7-1</f>
        <v>0.12307176391683439</v>
      </c>
    </row>
    <row r="31" spans="2:86" x14ac:dyDescent="0.2">
      <c r="B31" s="1" t="s">
        <v>36</v>
      </c>
      <c r="G31" s="25">
        <f t="shared" si="97"/>
        <v>4.3974098772591175E-2</v>
      </c>
      <c r="H31" s="25">
        <f t="shared" si="98"/>
        <v>5.7246706042706208E-3</v>
      </c>
      <c r="I31" s="25">
        <f>+I8/E8-1</f>
        <v>2.9022358614642751E-2</v>
      </c>
      <c r="M31" s="25">
        <f t="shared" ref="M31:O32" si="100">+M8/L8-1</f>
        <v>0.15142869879195819</v>
      </c>
      <c r="N31" s="25">
        <f t="shared" si="100"/>
        <v>0.71482771970576842</v>
      </c>
      <c r="O31" s="25">
        <f t="shared" si="100"/>
        <v>-8.7596514200568576E-3</v>
      </c>
    </row>
    <row r="32" spans="2:86" x14ac:dyDescent="0.2">
      <c r="B32" s="1" t="s">
        <v>37</v>
      </c>
      <c r="G32" s="25">
        <f t="shared" si="97"/>
        <v>-1.7368853420959951E-2</v>
      </c>
      <c r="H32" s="25">
        <f t="shared" si="98"/>
        <v>-8.2755936161930777E-2</v>
      </c>
      <c r="I32" s="25">
        <f>+I9/E9-1</f>
        <v>-5.2319693957919244E-2</v>
      </c>
      <c r="M32" s="25">
        <f t="shared" si="100"/>
        <v>6.163421939348579E-2</v>
      </c>
      <c r="N32" s="25">
        <f t="shared" si="100"/>
        <v>0.37959003746969366</v>
      </c>
      <c r="O32" s="25">
        <f t="shared" si="100"/>
        <v>0.10319742672119969</v>
      </c>
    </row>
    <row r="33" spans="2:22" x14ac:dyDescent="0.2">
      <c r="B33" s="21" t="s">
        <v>52</v>
      </c>
      <c r="C33" s="21"/>
      <c r="D33" s="21"/>
      <c r="E33" s="21"/>
      <c r="F33" s="21"/>
      <c r="G33" s="26">
        <f t="shared" ref="G33" si="101">+G12/C12-1</f>
        <v>5.6297164418019463E-2</v>
      </c>
      <c r="H33" s="26">
        <f t="shared" ref="H33" si="102">+H12/D12-1</f>
        <v>1.0710740103751393E-2</v>
      </c>
      <c r="I33" s="26">
        <f>+I12/E12-1</f>
        <v>-1.1355525274154954E-2</v>
      </c>
      <c r="M33" s="26">
        <f t="shared" ref="M33:O33" si="103">+M12/L12-1</f>
        <v>9.2375171947776114E-2</v>
      </c>
      <c r="N33" s="26">
        <f t="shared" si="103"/>
        <v>0.47808173026472045</v>
      </c>
      <c r="O33" s="26">
        <f>+O12/N12-1</f>
        <v>9.7787908228084586E-2</v>
      </c>
      <c r="P33" s="26">
        <f t="shared" ref="P33:V33" si="104">+P12/O12-1</f>
        <v>-3.7101330882604033E-3</v>
      </c>
      <c r="Q33" s="26">
        <f t="shared" si="104"/>
        <v>7.0000000000000062E-2</v>
      </c>
      <c r="R33" s="26">
        <f t="shared" si="104"/>
        <v>7.0000000000000062E-2</v>
      </c>
      <c r="S33" s="26">
        <f t="shared" si="104"/>
        <v>9.000000000000008E-2</v>
      </c>
      <c r="T33" s="26">
        <f t="shared" si="104"/>
        <v>6.0000000000000053E-2</v>
      </c>
      <c r="U33" s="26">
        <f t="shared" si="104"/>
        <v>6.0000000000000053E-2</v>
      </c>
      <c r="V33" s="26">
        <f t="shared" si="104"/>
        <v>6.0000000000000053E-2</v>
      </c>
    </row>
    <row r="35" spans="2:22" x14ac:dyDescent="0.2">
      <c r="B35" s="1" t="s">
        <v>54</v>
      </c>
      <c r="C35" s="25">
        <f>+C14/C12</f>
        <v>0.87124113880631149</v>
      </c>
      <c r="D35" s="25">
        <f>+D14/D12</f>
        <v>0.87250583777283719</v>
      </c>
      <c r="E35" s="25">
        <f>+E14/E12</f>
        <v>0.8633573421581987</v>
      </c>
      <c r="F35" s="25">
        <f t="shared" ref="F35:G35" si="105">+F14/F12</f>
        <v>0.86251162790697666</v>
      </c>
      <c r="G35" s="25">
        <f t="shared" ref="G35:H35" si="106">+G14/G12</f>
        <v>0.85983736317263582</v>
      </c>
      <c r="H35" s="25">
        <f>+H14/H12</f>
        <v>0.86277547971168878</v>
      </c>
      <c r="I35" s="25">
        <f>+I14/I12</f>
        <v>0.86208978734576003</v>
      </c>
      <c r="L35" s="25">
        <f t="shared" ref="L35:P35" si="107">+L14/L12</f>
        <v>0.8617841542582716</v>
      </c>
      <c r="M35" s="25">
        <f t="shared" si="107"/>
        <v>0.86227141429036935</v>
      </c>
      <c r="N35" s="25">
        <f t="shared" si="107"/>
        <v>0.86544727598834159</v>
      </c>
      <c r="O35" s="25">
        <f t="shared" si="107"/>
        <v>0.8672453112767623</v>
      </c>
      <c r="P35" s="25">
        <f t="shared" si="107"/>
        <v>0.86</v>
      </c>
      <c r="Q35" s="25">
        <f t="shared" ref="Q35:V35" si="108">+Q14/Q12</f>
        <v>0.85999999999999988</v>
      </c>
      <c r="R35" s="25">
        <f t="shared" si="108"/>
        <v>0.86499999999999999</v>
      </c>
      <c r="S35" s="25">
        <f t="shared" si="108"/>
        <v>0.86499999999999988</v>
      </c>
      <c r="T35" s="25">
        <f t="shared" si="108"/>
        <v>0.8650000000000001</v>
      </c>
      <c r="U35" s="25">
        <f t="shared" si="108"/>
        <v>0.86499999999999999</v>
      </c>
      <c r="V35" s="25">
        <f t="shared" si="108"/>
        <v>0.86499999999999999</v>
      </c>
    </row>
    <row r="36" spans="2:22" x14ac:dyDescent="0.2">
      <c r="B36" s="1" t="s">
        <v>53</v>
      </c>
      <c r="C36" s="25">
        <f>+C20/C12</f>
        <v>0.24151040475646013</v>
      </c>
      <c r="D36" s="25">
        <f>+D20/D12</f>
        <v>0.18774557098312281</v>
      </c>
      <c r="E36" s="25">
        <f>+E20/E12</f>
        <v>0.2013496852897283</v>
      </c>
      <c r="F36" s="25">
        <f t="shared" ref="F36:G36" si="109">+F20/F12</f>
        <v>7.5003322259136099E-2</v>
      </c>
      <c r="G36" s="25">
        <f t="shared" ref="G36:H36" si="110">+G20/G12</f>
        <v>0.17812927056977002</v>
      </c>
      <c r="H36" s="25">
        <f>+H20/H12</f>
        <v>6.4427320393453377E-2</v>
      </c>
      <c r="I36" s="25">
        <f>+I20/I12</f>
        <v>-3.3289577316881279E-2</v>
      </c>
      <c r="L36" s="25">
        <f t="shared" ref="L36:P36" si="111">+L20/L12</f>
        <v>0.16628858266766425</v>
      </c>
      <c r="M36" s="25">
        <f t="shared" si="111"/>
        <v>0.19165575862011819</v>
      </c>
      <c r="N36" s="25">
        <f t="shared" si="111"/>
        <v>0.26701666542111951</v>
      </c>
      <c r="O36" s="25">
        <f t="shared" si="111"/>
        <v>0.17524081827155452</v>
      </c>
      <c r="P36" s="25">
        <f t="shared" si="111"/>
        <v>0.20168421592073787</v>
      </c>
      <c r="Q36" s="25">
        <f t="shared" ref="Q36:V36" si="112">+Q20/Q12</f>
        <v>0.22367732934426166</v>
      </c>
      <c r="R36" s="25">
        <f t="shared" si="112"/>
        <v>0.24559593385475667</v>
      </c>
      <c r="S36" s="25">
        <f t="shared" si="112"/>
        <v>0.24831542373431131</v>
      </c>
      <c r="T36" s="25">
        <f t="shared" si="112"/>
        <v>0.24963668532673655</v>
      </c>
      <c r="U36" s="25">
        <f t="shared" si="112"/>
        <v>0.2509205527231495</v>
      </c>
      <c r="V36" s="25">
        <f t="shared" si="112"/>
        <v>0.25216808424985288</v>
      </c>
    </row>
    <row r="38" spans="2:22" x14ac:dyDescent="0.2">
      <c r="B38" s="1" t="s">
        <v>55</v>
      </c>
      <c r="C38" s="3">
        <v>14.895</v>
      </c>
      <c r="D38" s="3">
        <f>31.684-C38</f>
        <v>16.789000000000001</v>
      </c>
      <c r="E38" s="3">
        <f>47.004-D38-C38</f>
        <v>15.319999999999997</v>
      </c>
      <c r="F38" s="3">
        <v>12.125999999999999</v>
      </c>
      <c r="G38" s="3">
        <v>13.632999999999999</v>
      </c>
      <c r="H38" s="3">
        <f>24.469-G38</f>
        <v>10.836000000000002</v>
      </c>
      <c r="I38" s="3">
        <f>40.233-H38-G38</f>
        <v>15.763999999999996</v>
      </c>
      <c r="J38" s="3"/>
      <c r="L38" s="3">
        <v>25.768999999999998</v>
      </c>
      <c r="M38" s="3">
        <v>37.173999999999999</v>
      </c>
      <c r="N38" s="3">
        <v>64.509</v>
      </c>
      <c r="O38" s="3">
        <v>59.13</v>
      </c>
      <c r="P38" s="3"/>
      <c r="Q38" s="3"/>
      <c r="R38" s="3"/>
      <c r="S38" s="3"/>
      <c r="T38" s="3"/>
      <c r="U38" s="3"/>
    </row>
    <row r="39" spans="2:22" x14ac:dyDescent="0.2">
      <c r="B39" s="1" t="s">
        <v>56</v>
      </c>
      <c r="C39" s="3">
        <v>12.553000000000001</v>
      </c>
      <c r="D39" s="3">
        <f>22.09-C39</f>
        <v>9.536999999999999</v>
      </c>
      <c r="E39" s="3">
        <f>31.119-D39-C39</f>
        <v>9.0289999999999999</v>
      </c>
      <c r="F39" s="3">
        <v>9.2650000000000006</v>
      </c>
      <c r="G39" s="3">
        <v>5.1349999999999998</v>
      </c>
      <c r="H39" s="3">
        <f>12.802-G39</f>
        <v>7.6669999999999998</v>
      </c>
      <c r="I39" s="3">
        <f>19.219-H39-G39</f>
        <v>6.4170000000000016</v>
      </c>
      <c r="J39" s="3"/>
      <c r="L39" s="3">
        <v>25.263000000000002</v>
      </c>
      <c r="M39" s="3">
        <v>20.707999999999998</v>
      </c>
      <c r="N39" s="3">
        <v>24.003</v>
      </c>
      <c r="O39" s="3">
        <v>40.384</v>
      </c>
      <c r="P39" s="3"/>
      <c r="Q39" s="3"/>
      <c r="R39" s="3"/>
      <c r="S39" s="3"/>
      <c r="T39" s="3"/>
      <c r="U39" s="3"/>
    </row>
    <row r="40" spans="2:22" x14ac:dyDescent="0.2">
      <c r="B40" s="21" t="s">
        <v>57</v>
      </c>
      <c r="C40" s="22">
        <f t="shared" ref="C40:D40" si="113">+C38-C39</f>
        <v>2.3419999999999987</v>
      </c>
      <c r="D40" s="22">
        <f t="shared" si="113"/>
        <v>7.2520000000000024</v>
      </c>
      <c r="E40" s="22">
        <f>+E38-E39</f>
        <v>6.2909999999999968</v>
      </c>
      <c r="F40" s="22">
        <f t="shared" ref="F40:I40" si="114">+F38-F39</f>
        <v>2.8609999999999989</v>
      </c>
      <c r="G40" s="22">
        <f t="shared" si="114"/>
        <v>8.4979999999999993</v>
      </c>
      <c r="H40" s="22">
        <f t="shared" si="114"/>
        <v>3.1690000000000023</v>
      </c>
      <c r="I40" s="22">
        <f t="shared" si="114"/>
        <v>9.3469999999999942</v>
      </c>
      <c r="J40" s="22">
        <f t="shared" ref="J40" si="115">+J38-J39</f>
        <v>0</v>
      </c>
      <c r="L40" s="22">
        <f t="shared" ref="L40" si="116">+L38-L39</f>
        <v>0.50599999999999667</v>
      </c>
      <c r="M40" s="22">
        <f t="shared" ref="M40" si="117">+M38-M39</f>
        <v>16.466000000000001</v>
      </c>
      <c r="N40" s="22">
        <f t="shared" ref="N40" si="118">+N38-N39</f>
        <v>40.506</v>
      </c>
      <c r="O40" s="22">
        <f t="shared" ref="O40" si="119">+O38-O39</f>
        <v>18.746000000000002</v>
      </c>
      <c r="P40" s="3"/>
      <c r="Q40" s="3"/>
      <c r="R40" s="3"/>
      <c r="S40" s="3"/>
      <c r="T40" s="3"/>
      <c r="U40" s="3"/>
    </row>
    <row r="41" spans="2:22" x14ac:dyDescent="0.2">
      <c r="B41" s="1" t="s">
        <v>58</v>
      </c>
      <c r="C41" s="3">
        <v>0.94099999999999995</v>
      </c>
      <c r="D41" s="3">
        <f>1.647-C41</f>
        <v>0.70600000000000007</v>
      </c>
      <c r="E41" s="3">
        <f>2.117-D41-C41</f>
        <v>0.47000000000000008</v>
      </c>
      <c r="F41" s="3">
        <v>0.47099999999999997</v>
      </c>
      <c r="G41" s="3">
        <v>0.47</v>
      </c>
      <c r="H41" s="3">
        <f>0.941-G41</f>
        <v>0.47099999999999997</v>
      </c>
      <c r="I41" s="3">
        <f>1.412-H41-G41</f>
        <v>0.47099999999999997</v>
      </c>
      <c r="J41" s="3"/>
      <c r="L41" s="3"/>
      <c r="M41" s="3"/>
      <c r="N41" s="3">
        <v>2.3530000000000002</v>
      </c>
      <c r="O41" s="3">
        <v>2.5880000000000001</v>
      </c>
      <c r="P41" s="3"/>
      <c r="Q41" s="3"/>
      <c r="R41" s="3"/>
      <c r="S41" s="3"/>
      <c r="T41" s="3"/>
      <c r="U41" s="3"/>
    </row>
    <row r="42" spans="2:22" x14ac:dyDescent="0.2">
      <c r="B42" s="1" t="s">
        <v>59</v>
      </c>
      <c r="C42" s="3">
        <f t="shared" ref="C42:H42" si="120">+C40-C41</f>
        <v>1.4009999999999989</v>
      </c>
      <c r="D42" s="3">
        <f t="shared" si="120"/>
        <v>6.546000000000002</v>
      </c>
      <c r="E42" s="3">
        <f t="shared" si="120"/>
        <v>5.8209999999999971</v>
      </c>
      <c r="F42" s="3">
        <f t="shared" si="120"/>
        <v>2.3899999999999988</v>
      </c>
      <c r="G42" s="3">
        <f t="shared" si="120"/>
        <v>8.0279999999999987</v>
      </c>
      <c r="H42" s="3">
        <f t="shared" si="120"/>
        <v>2.6980000000000022</v>
      </c>
      <c r="I42" s="3">
        <f>+I40-I41</f>
        <v>8.8759999999999941</v>
      </c>
      <c r="J42" s="3">
        <f t="shared" ref="J42" si="121">+J40-J41</f>
        <v>0</v>
      </c>
      <c r="L42" s="3">
        <f t="shared" ref="L42" si="122">+L40-L41</f>
        <v>0.50599999999999667</v>
      </c>
      <c r="M42" s="3">
        <f t="shared" ref="M42" si="123">+M40-M41</f>
        <v>16.466000000000001</v>
      </c>
      <c r="N42" s="3">
        <f t="shared" ref="N42" si="124">+N40-N41</f>
        <v>38.152999999999999</v>
      </c>
      <c r="O42" s="3">
        <f t="shared" ref="O42" si="125">+O40-O41</f>
        <v>16.158000000000001</v>
      </c>
      <c r="P42" s="3"/>
      <c r="Q42" s="3"/>
      <c r="R42" s="3"/>
      <c r="S42" s="3"/>
      <c r="T42" s="3"/>
      <c r="U42" s="3"/>
    </row>
    <row r="43" spans="2:22" x14ac:dyDescent="0.2">
      <c r="B43" s="1" t="s">
        <v>67</v>
      </c>
      <c r="F43" s="3">
        <f t="shared" ref="F43:H43" si="126">+SUM(C42:F42)</f>
        <v>16.157999999999994</v>
      </c>
      <c r="G43" s="3">
        <f t="shared" si="126"/>
        <v>22.784999999999997</v>
      </c>
      <c r="H43" s="3">
        <f t="shared" si="126"/>
        <v>18.936999999999998</v>
      </c>
      <c r="I43" s="3">
        <f>+SUM(F42:I42)</f>
        <v>21.991999999999994</v>
      </c>
      <c r="L43" s="3"/>
      <c r="M43" s="3"/>
      <c r="N43" s="3"/>
      <c r="O43" s="3"/>
      <c r="P43" s="3"/>
      <c r="Q43" s="3"/>
      <c r="R43" s="3"/>
      <c r="S43" s="3"/>
      <c r="T43" s="3"/>
      <c r="U43" s="3"/>
    </row>
    <row r="44" spans="2:22" x14ac:dyDescent="0.2">
      <c r="F44" s="3"/>
      <c r="G44" s="3"/>
      <c r="H44" s="3"/>
      <c r="I44" s="3"/>
      <c r="L44" s="3"/>
      <c r="M44" s="3"/>
      <c r="N44" s="3"/>
      <c r="O44" s="3"/>
      <c r="P44" s="3"/>
      <c r="Q44" s="3"/>
      <c r="R44" s="3"/>
      <c r="S44" s="3"/>
      <c r="T44" s="3"/>
      <c r="U44" s="3"/>
    </row>
    <row r="45" spans="2:22" x14ac:dyDescent="0.2">
      <c r="B45" s="1" t="s">
        <v>60</v>
      </c>
      <c r="C45" s="3"/>
      <c r="D45" s="3"/>
      <c r="E45" s="3"/>
      <c r="F45" s="3"/>
      <c r="G45" s="3">
        <v>2.0720000000000001</v>
      </c>
      <c r="H45" s="3">
        <f>3.602-G45</f>
        <v>1.5299999999999998</v>
      </c>
      <c r="I45" s="3">
        <f>12.775-H45</f>
        <v>11.245000000000001</v>
      </c>
      <c r="J45" s="3"/>
      <c r="L45" s="3">
        <v>0</v>
      </c>
      <c r="M45" s="3">
        <v>2.9009999999999998</v>
      </c>
      <c r="N45" s="3">
        <v>15.097</v>
      </c>
      <c r="O45" s="3">
        <v>2.2229999999999999</v>
      </c>
      <c r="P45" s="3"/>
      <c r="Q45" s="3"/>
      <c r="R45" s="3"/>
      <c r="S45" s="3"/>
      <c r="T45" s="3"/>
      <c r="U45" s="3"/>
    </row>
    <row r="46" spans="2:22" x14ac:dyDescent="0.2">
      <c r="B46" s="1" t="s">
        <v>61</v>
      </c>
      <c r="C46" s="3"/>
      <c r="D46" s="3"/>
      <c r="E46" s="3"/>
      <c r="F46" s="3"/>
      <c r="G46" s="3">
        <v>0.56200000000000006</v>
      </c>
      <c r="H46" s="3">
        <f>1.122-G46</f>
        <v>0.56000000000000005</v>
      </c>
      <c r="I46" s="3">
        <f>1.674-H46</f>
        <v>1.1139999999999999</v>
      </c>
      <c r="J46" s="3"/>
      <c r="L46" s="3">
        <v>1.1379999999999999</v>
      </c>
      <c r="M46" s="3">
        <v>1.252</v>
      </c>
      <c r="N46" s="3">
        <v>1.784</v>
      </c>
      <c r="O46" s="3">
        <v>2.1459999999999999</v>
      </c>
      <c r="P46" s="3"/>
      <c r="Q46" s="3"/>
      <c r="R46" s="3"/>
      <c r="S46" s="3"/>
      <c r="T46" s="3"/>
      <c r="U46" s="3"/>
    </row>
    <row r="47" spans="2:22" x14ac:dyDescent="0.2">
      <c r="L47" s="3"/>
      <c r="M47" s="3"/>
      <c r="N47" s="3"/>
      <c r="O47" s="3"/>
      <c r="P47" s="3"/>
      <c r="Q47" s="3"/>
      <c r="R47" s="3"/>
      <c r="S47" s="3"/>
      <c r="T47" s="3"/>
      <c r="U47" s="3"/>
    </row>
    <row r="48" spans="2:22" x14ac:dyDescent="0.2">
      <c r="B48" s="1" t="s">
        <v>66</v>
      </c>
      <c r="L48" s="3">
        <v>2.0339999999999998</v>
      </c>
      <c r="M48" s="3">
        <v>13.5</v>
      </c>
      <c r="N48" s="3">
        <v>55.292999999999999</v>
      </c>
      <c r="O48" s="3">
        <v>29</v>
      </c>
      <c r="P48" s="3"/>
      <c r="Q48" s="3"/>
      <c r="R48" s="3"/>
      <c r="S48" s="3"/>
      <c r="T48" s="3"/>
      <c r="U48" s="3"/>
    </row>
    <row r="50" spans="2:22" x14ac:dyDescent="0.2">
      <c r="B50" s="1" t="s">
        <v>70</v>
      </c>
      <c r="C50" s="24">
        <f>+C15/C12</f>
        <v>0.26692202149554078</v>
      </c>
      <c r="D50" s="24">
        <f t="shared" ref="D50:I50" si="127">+D15/D12</f>
        <v>0.27165569025546377</v>
      </c>
      <c r="E50" s="24">
        <f t="shared" si="127"/>
        <v>0.26705599896178051</v>
      </c>
      <c r="F50" s="24">
        <f t="shared" si="127"/>
        <v>0.27665116279069768</v>
      </c>
      <c r="G50" s="24">
        <f t="shared" si="127"/>
        <v>0.28863301175802025</v>
      </c>
      <c r="H50" s="24">
        <f t="shared" si="127"/>
        <v>0.2901788802346334</v>
      </c>
      <c r="I50" s="24">
        <f t="shared" si="127"/>
        <v>0.27555788920976637</v>
      </c>
      <c r="L50" s="24">
        <f t="shared" ref="L50:O50" si="128">+L15/L12</f>
        <v>0.2687634239930497</v>
      </c>
      <c r="M50" s="24">
        <f t="shared" si="128"/>
        <v>0.27523072589597863</v>
      </c>
      <c r="N50" s="24">
        <f t="shared" si="128"/>
        <v>0.25576190120319858</v>
      </c>
      <c r="O50" s="24">
        <f t="shared" si="128"/>
        <v>0.27060145001531705</v>
      </c>
      <c r="P50" s="24">
        <f t="shared" ref="P50:V50" si="129">+P15/P12</f>
        <v>0.27</v>
      </c>
      <c r="Q50" s="24">
        <f t="shared" si="129"/>
        <v>0.26500000000000001</v>
      </c>
      <c r="R50" s="24">
        <f t="shared" si="129"/>
        <v>0.26</v>
      </c>
      <c r="S50" s="24">
        <f t="shared" si="129"/>
        <v>0.26</v>
      </c>
      <c r="T50" s="24">
        <f t="shared" si="129"/>
        <v>0.26</v>
      </c>
      <c r="U50" s="24">
        <f t="shared" si="129"/>
        <v>0.26</v>
      </c>
      <c r="V50" s="24">
        <f t="shared" si="129"/>
        <v>0.26</v>
      </c>
    </row>
    <row r="51" spans="2:22" x14ac:dyDescent="0.2">
      <c r="B51" s="1" t="s">
        <v>69</v>
      </c>
      <c r="C51" s="24">
        <f>+C16/C12</f>
        <v>0.32489137891607589</v>
      </c>
      <c r="D51" s="24">
        <f t="shared" ref="D51:I51" si="130">+D16/D12</f>
        <v>0.30798271739586391</v>
      </c>
      <c r="E51" s="24">
        <f t="shared" si="130"/>
        <v>0.3089092206865226</v>
      </c>
      <c r="F51" s="24">
        <f t="shared" si="130"/>
        <v>0.32508970099667778</v>
      </c>
      <c r="G51" s="24">
        <f t="shared" si="130"/>
        <v>0.34098258622322652</v>
      </c>
      <c r="H51" s="24">
        <f t="shared" si="130"/>
        <v>0.3410622137985419</v>
      </c>
      <c r="I51" s="24">
        <f t="shared" si="130"/>
        <v>0.3289183512733001</v>
      </c>
      <c r="L51" s="24">
        <f t="shared" ref="L51:O51" si="131">+L16/L12</f>
        <v>0.3247339334411275</v>
      </c>
      <c r="M51" s="24">
        <f t="shared" si="131"/>
        <v>0.33080929420796534</v>
      </c>
      <c r="N51" s="24">
        <f t="shared" si="131"/>
        <v>0.29462297287198264</v>
      </c>
      <c r="O51" s="24">
        <f t="shared" si="131"/>
        <v>0.31663433064433777</v>
      </c>
      <c r="P51" s="24">
        <f t="shared" ref="P51:V51" si="132">+P16/P12</f>
        <v>0.33500000000000002</v>
      </c>
      <c r="Q51" s="24">
        <f t="shared" si="132"/>
        <v>0.32</v>
      </c>
      <c r="R51" s="24">
        <f t="shared" si="132"/>
        <v>0.31</v>
      </c>
      <c r="S51" s="24">
        <f t="shared" si="132"/>
        <v>0.31</v>
      </c>
      <c r="T51" s="24">
        <f t="shared" si="132"/>
        <v>0.31</v>
      </c>
      <c r="U51" s="24">
        <f t="shared" si="132"/>
        <v>0.31</v>
      </c>
      <c r="V51" s="24">
        <f t="shared" si="132"/>
        <v>0.31</v>
      </c>
    </row>
    <row r="53" spans="2:22" x14ac:dyDescent="0.2">
      <c r="B53" s="1" t="s">
        <v>75</v>
      </c>
      <c r="I53" s="3">
        <f>+main!L6-main!L7</f>
        <v>-210.453</v>
      </c>
      <c r="P53" s="3">
        <f>+I53+P24</f>
        <v>-176.27854400000001</v>
      </c>
      <c r="Q53" s="3">
        <f>+P53+Q24</f>
        <v>-127.28706248000003</v>
      </c>
      <c r="R53" s="3">
        <f t="shared" ref="R53:V53" si="133">+Q53+R24</f>
        <v>-66.536784120800021</v>
      </c>
      <c r="S53" s="3">
        <f t="shared" si="133"/>
        <v>3.3639473753199951</v>
      </c>
      <c r="T53" s="3">
        <f t="shared" si="133"/>
        <v>80.823702318469401</v>
      </c>
      <c r="U53" s="3">
        <f t="shared" si="133"/>
        <v>166.4428991582262</v>
      </c>
      <c r="V53" s="3">
        <f t="shared" si="133"/>
        <v>260.86422486866741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E561C-BA15-4010-BF53-03167583E9B2}">
  <dimension ref="A1:E19"/>
  <sheetViews>
    <sheetView zoomScale="160" zoomScaleNormal="160" workbookViewId="0">
      <selection activeCell="B19" sqref="B19:D19"/>
    </sheetView>
  </sheetViews>
  <sheetFormatPr defaultRowHeight="12.75" x14ac:dyDescent="0.2"/>
  <cols>
    <col min="1" max="1" width="9.140625" style="1"/>
    <col min="2" max="2" width="15.7109375" style="1" bestFit="1" customWidth="1"/>
    <col min="3" max="3" width="14" style="1" customWidth="1"/>
    <col min="4" max="4" width="18.28515625" style="1" customWidth="1"/>
    <col min="5" max="16384" width="9.140625" style="1"/>
  </cols>
  <sheetData>
    <row r="1" spans="1:5" x14ac:dyDescent="0.2">
      <c r="B1" s="12"/>
      <c r="D1" s="12"/>
    </row>
    <row r="2" spans="1:5" x14ac:dyDescent="0.2">
      <c r="A2" s="4"/>
      <c r="B2" s="11" t="s">
        <v>7</v>
      </c>
      <c r="C2" s="18" t="s">
        <v>8</v>
      </c>
      <c r="D2" s="11" t="s">
        <v>9</v>
      </c>
    </row>
    <row r="3" spans="1:5" x14ac:dyDescent="0.2">
      <c r="B3" s="9" t="s">
        <v>10</v>
      </c>
      <c r="C3" s="15">
        <v>1</v>
      </c>
      <c r="D3" s="13">
        <v>4</v>
      </c>
    </row>
    <row r="4" spans="1:5" x14ac:dyDescent="0.2">
      <c r="B4" s="9" t="s">
        <v>11</v>
      </c>
      <c r="C4" s="15">
        <v>3</v>
      </c>
      <c r="D4" s="14">
        <v>1</v>
      </c>
    </row>
    <row r="5" spans="1:5" x14ac:dyDescent="0.2">
      <c r="B5" s="9" t="s">
        <v>12</v>
      </c>
      <c r="C5" s="15">
        <v>4</v>
      </c>
      <c r="D5" s="6">
        <v>10</v>
      </c>
    </row>
    <row r="6" spans="1:5" x14ac:dyDescent="0.2">
      <c r="B6" s="9" t="s">
        <v>13</v>
      </c>
      <c r="C6" s="15">
        <v>5</v>
      </c>
      <c r="D6" s="5">
        <v>3</v>
      </c>
    </row>
    <row r="7" spans="1:5" x14ac:dyDescent="0.2">
      <c r="B7" s="9" t="s">
        <v>14</v>
      </c>
      <c r="C7" s="15">
        <v>9</v>
      </c>
      <c r="D7" s="15">
        <v>4</v>
      </c>
    </row>
    <row r="8" spans="1:5" x14ac:dyDescent="0.2">
      <c r="B8" s="9" t="s">
        <v>15</v>
      </c>
      <c r="C8" s="15">
        <v>10</v>
      </c>
      <c r="D8" s="13">
        <v>1</v>
      </c>
    </row>
    <row r="9" spans="1:5" x14ac:dyDescent="0.2">
      <c r="B9" s="9" t="s">
        <v>16</v>
      </c>
      <c r="C9" s="15">
        <v>16</v>
      </c>
      <c r="D9" s="7">
        <v>3</v>
      </c>
    </row>
    <row r="10" spans="1:5" x14ac:dyDescent="0.2">
      <c r="B10" s="9" t="s">
        <v>17</v>
      </c>
      <c r="C10" s="15">
        <v>19</v>
      </c>
      <c r="D10" s="8">
        <v>5</v>
      </c>
    </row>
    <row r="11" spans="1:5" x14ac:dyDescent="0.2">
      <c r="B11" s="9" t="s">
        <v>18</v>
      </c>
      <c r="C11" s="15">
        <v>21</v>
      </c>
      <c r="D11" s="15">
        <v>3</v>
      </c>
      <c r="E11" s="10"/>
    </row>
    <row r="12" spans="1:5" x14ac:dyDescent="0.2">
      <c r="B12" s="9" t="s">
        <v>19</v>
      </c>
      <c r="C12" s="15">
        <v>23</v>
      </c>
      <c r="D12" s="15">
        <v>1</v>
      </c>
    </row>
    <row r="13" spans="1:5" x14ac:dyDescent="0.2">
      <c r="B13" s="9" t="s">
        <v>20</v>
      </c>
      <c r="C13" s="15">
        <v>24</v>
      </c>
      <c r="D13" s="15">
        <v>2</v>
      </c>
    </row>
    <row r="14" spans="1:5" x14ac:dyDescent="0.2">
      <c r="B14" s="9" t="s">
        <v>21</v>
      </c>
      <c r="C14" s="15">
        <v>26</v>
      </c>
      <c r="D14" s="15">
        <v>1</v>
      </c>
    </row>
    <row r="15" spans="1:5" x14ac:dyDescent="0.2">
      <c r="B15" s="9" t="s">
        <v>22</v>
      </c>
      <c r="C15" s="15">
        <v>27</v>
      </c>
      <c r="D15" s="15">
        <v>3</v>
      </c>
    </row>
    <row r="16" spans="1:5" x14ac:dyDescent="0.2">
      <c r="B16" s="9" t="s">
        <v>23</v>
      </c>
      <c r="C16" s="15">
        <v>34</v>
      </c>
      <c r="D16" s="13">
        <v>1</v>
      </c>
    </row>
    <row r="17" spans="2:4" x14ac:dyDescent="0.2">
      <c r="B17" s="9" t="s">
        <v>24</v>
      </c>
      <c r="C17" s="15">
        <v>41</v>
      </c>
      <c r="D17" s="16">
        <v>1</v>
      </c>
    </row>
    <row r="18" spans="2:4" x14ac:dyDescent="0.2">
      <c r="B18" s="9" t="s">
        <v>25</v>
      </c>
      <c r="C18" s="9">
        <v>43</v>
      </c>
      <c r="D18" s="17">
        <v>1</v>
      </c>
    </row>
    <row r="19" spans="2:4" x14ac:dyDescent="0.2">
      <c r="B19" s="19" t="s">
        <v>26</v>
      </c>
      <c r="C19" s="20"/>
      <c r="D19" s="19">
        <f t="shared" ref="D19" si="0">+SUM(D3:D18)</f>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2024-10-27T12:21:06Z</dcterms:created>
  <dcterms:modified xsi:type="dcterms:W3CDTF">2024-10-27T17:28:36Z</dcterms:modified>
</cp:coreProperties>
</file>