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decc0a7aee32c85f/Ambiente de Trabalho/"/>
    </mc:Choice>
  </mc:AlternateContent>
  <xr:revisionPtr revIDLastSave="305" documentId="8_{AA69A723-94F3-489C-8B0E-BF2CF930F768}" xr6:coauthVersionLast="47" xr6:coauthVersionMax="47" xr10:uidLastSave="{1A3602AB-C7DC-44B1-B695-D40F9E1A886F}"/>
  <bookViews>
    <workbookView xWindow="-120" yWindow="-120" windowWidth="29040" windowHeight="15720" activeTab="1" xr2:uid="{005F6F9E-B03A-420A-AF98-DDBB8BB43918}"/>
  </bookViews>
  <sheets>
    <sheet name="Sheet1"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2" l="1"/>
  <c r="S21" i="2"/>
  <c r="T18" i="2"/>
  <c r="U18" i="2" s="1"/>
  <c r="V18" i="2" s="1"/>
  <c r="W18" i="2" s="1"/>
  <c r="X18" i="2" s="1"/>
  <c r="Y18" i="2" s="1"/>
  <c r="S18" i="2"/>
  <c r="S17" i="2"/>
  <c r="T17" i="2"/>
  <c r="U17" i="2" s="1"/>
  <c r="V17" i="2" s="1"/>
  <c r="W17" i="2" s="1"/>
  <c r="X17" i="2" s="1"/>
  <c r="Y17" i="2" s="1"/>
  <c r="T14" i="2"/>
  <c r="U14" i="2" s="1"/>
  <c r="V14" i="2" s="1"/>
  <c r="W14" i="2" s="1"/>
  <c r="X14" i="2" s="1"/>
  <c r="Y14" i="2" s="1"/>
  <c r="S14" i="2"/>
  <c r="T12" i="2"/>
  <c r="U12" i="2" s="1"/>
  <c r="V12" i="2" s="1"/>
  <c r="W12" i="2" s="1"/>
  <c r="X12" i="2" s="1"/>
  <c r="Y12" i="2" s="1"/>
  <c r="S12" i="2"/>
  <c r="T11" i="2"/>
  <c r="U11" i="2" s="1"/>
  <c r="S11" i="2"/>
  <c r="U4" i="2"/>
  <c r="V4" i="2" s="1"/>
  <c r="W4" i="2" s="1"/>
  <c r="X4" i="2" s="1"/>
  <c r="Y4" i="2" s="1"/>
  <c r="T4" i="2"/>
  <c r="T7" i="2"/>
  <c r="U7" i="2" s="1"/>
  <c r="V7" i="2" s="1"/>
  <c r="W7" i="2" s="1"/>
  <c r="X7" i="2" s="1"/>
  <c r="Y7" i="2" s="1"/>
  <c r="S7" i="2"/>
  <c r="S9" i="2" s="1"/>
  <c r="T6" i="2"/>
  <c r="U6" i="2" s="1"/>
  <c r="V6" i="2" s="1"/>
  <c r="W6" i="2" s="1"/>
  <c r="X6" i="2" s="1"/>
  <c r="Y6" i="2" s="1"/>
  <c r="S6" i="2"/>
  <c r="U3" i="2"/>
  <c r="S4" i="2"/>
  <c r="S3" i="2"/>
  <c r="S5" i="2" s="1"/>
  <c r="R26" i="2"/>
  <c r="S25" i="2"/>
  <c r="T25" i="2" s="1"/>
  <c r="U25" i="2" s="1"/>
  <c r="V25" i="2" s="1"/>
  <c r="W25" i="2" s="1"/>
  <c r="X25" i="2" s="1"/>
  <c r="Y25" i="2" s="1"/>
  <c r="R25" i="2"/>
  <c r="I21" i="2"/>
  <c r="I18" i="2"/>
  <c r="R18" i="2" s="1"/>
  <c r="I17" i="2"/>
  <c r="R17" i="2"/>
  <c r="I14" i="2"/>
  <c r="R14" i="2" s="1"/>
  <c r="I13" i="2"/>
  <c r="I15" i="2" s="1"/>
  <c r="I12" i="2"/>
  <c r="I11" i="2"/>
  <c r="I7" i="2"/>
  <c r="R7" i="2" s="1"/>
  <c r="R9" i="2" s="1"/>
  <c r="I6" i="2"/>
  <c r="I8" i="2" s="1"/>
  <c r="R6" i="2"/>
  <c r="R21" i="2"/>
  <c r="R19" i="2"/>
  <c r="R13" i="2"/>
  <c r="R12" i="2"/>
  <c r="R11" i="2"/>
  <c r="R4" i="2"/>
  <c r="R3" i="2"/>
  <c r="R5" i="2" s="1"/>
  <c r="R32" i="2" s="1"/>
  <c r="I4" i="2"/>
  <c r="I3" i="2"/>
  <c r="Y30" i="2"/>
  <c r="X30" i="2"/>
  <c r="W30" i="2"/>
  <c r="V30" i="2"/>
  <c r="U30" i="2"/>
  <c r="T30" i="2"/>
  <c r="S30" i="2"/>
  <c r="R30" i="2"/>
  <c r="E29" i="2"/>
  <c r="E28" i="2"/>
  <c r="E30" i="2" s="1"/>
  <c r="E23" i="2"/>
  <c r="E21" i="2"/>
  <c r="E19" i="2"/>
  <c r="E18" i="2"/>
  <c r="E17" i="2"/>
  <c r="E14" i="2"/>
  <c r="E13" i="2"/>
  <c r="E12" i="2"/>
  <c r="E11" i="2"/>
  <c r="E7" i="2"/>
  <c r="E6" i="2"/>
  <c r="E4" i="2"/>
  <c r="E3" i="2"/>
  <c r="E8" i="2" s="1"/>
  <c r="P32" i="2"/>
  <c r="Q32" i="2"/>
  <c r="O19" i="2"/>
  <c r="O18" i="2"/>
  <c r="O17" i="2"/>
  <c r="P19" i="2"/>
  <c r="P18" i="2"/>
  <c r="P17" i="2"/>
  <c r="Q19" i="2"/>
  <c r="Q18" i="2"/>
  <c r="Q17" i="2"/>
  <c r="Q30" i="2"/>
  <c r="P30" i="2"/>
  <c r="O30" i="2"/>
  <c r="M30" i="2"/>
  <c r="L30" i="2"/>
  <c r="K30" i="2"/>
  <c r="J30" i="2"/>
  <c r="I30" i="2"/>
  <c r="M26" i="2"/>
  <c r="L26" i="2"/>
  <c r="K26" i="2"/>
  <c r="J26" i="2"/>
  <c r="M24" i="2"/>
  <c r="L24" i="2"/>
  <c r="K24" i="2"/>
  <c r="J24" i="2"/>
  <c r="M22" i="2"/>
  <c r="L22" i="2"/>
  <c r="K22" i="2"/>
  <c r="J22" i="2"/>
  <c r="M20" i="2"/>
  <c r="L20" i="2"/>
  <c r="K20" i="2"/>
  <c r="J20" i="2"/>
  <c r="M16" i="2"/>
  <c r="L16" i="2"/>
  <c r="K16" i="2"/>
  <c r="J16" i="2"/>
  <c r="Q15" i="2"/>
  <c r="P15" i="2"/>
  <c r="O15" i="2"/>
  <c r="M15" i="2"/>
  <c r="L15" i="2"/>
  <c r="K15" i="2"/>
  <c r="J15" i="2"/>
  <c r="M10" i="2"/>
  <c r="L10" i="2"/>
  <c r="K10" i="2"/>
  <c r="J10" i="2"/>
  <c r="Q9" i="2"/>
  <c r="P9" i="2"/>
  <c r="O9" i="2"/>
  <c r="M9" i="2"/>
  <c r="L9" i="2"/>
  <c r="K9" i="2"/>
  <c r="J9" i="2"/>
  <c r="Q8" i="2"/>
  <c r="P8" i="2"/>
  <c r="O8" i="2"/>
  <c r="M8" i="2"/>
  <c r="L8" i="2"/>
  <c r="K8" i="2"/>
  <c r="J8" i="2"/>
  <c r="Q5" i="2"/>
  <c r="P5" i="2"/>
  <c r="O5" i="2"/>
  <c r="M5" i="2"/>
  <c r="L5" i="2"/>
  <c r="K5" i="2"/>
  <c r="J5" i="2"/>
  <c r="I5" i="2"/>
  <c r="B18" i="2"/>
  <c r="B17" i="2"/>
  <c r="F18" i="2"/>
  <c r="F17" i="2"/>
  <c r="C18" i="2"/>
  <c r="C17" i="2"/>
  <c r="G18" i="2"/>
  <c r="G17" i="2"/>
  <c r="H54" i="2"/>
  <c r="H52" i="2"/>
  <c r="H51" i="2"/>
  <c r="H49" i="2"/>
  <c r="H46" i="2"/>
  <c r="H37" i="2"/>
  <c r="G30" i="2"/>
  <c r="F30" i="2"/>
  <c r="D30" i="2"/>
  <c r="C30" i="2"/>
  <c r="B30" i="2"/>
  <c r="H30" i="2"/>
  <c r="D18" i="2"/>
  <c r="D17" i="2"/>
  <c r="H18" i="2"/>
  <c r="H17" i="2"/>
  <c r="G15" i="2"/>
  <c r="F15" i="2"/>
  <c r="E15" i="2"/>
  <c r="D15" i="2"/>
  <c r="C15" i="2"/>
  <c r="B15" i="2"/>
  <c r="H15" i="2"/>
  <c r="G8" i="2"/>
  <c r="F8" i="2"/>
  <c r="D8" i="2"/>
  <c r="C8" i="2"/>
  <c r="B8" i="2"/>
  <c r="G9" i="2"/>
  <c r="F9" i="2"/>
  <c r="D9" i="2"/>
  <c r="C9" i="2"/>
  <c r="B9" i="2"/>
  <c r="S15" i="2" l="1"/>
  <c r="V11" i="2"/>
  <c r="U15" i="2"/>
  <c r="T15" i="2"/>
  <c r="U9" i="2"/>
  <c r="T9" i="2"/>
  <c r="U5" i="2"/>
  <c r="U8" i="2"/>
  <c r="T8" i="2"/>
  <c r="T5" i="2"/>
  <c r="T32" i="2"/>
  <c r="V3" i="2"/>
  <c r="S8" i="2"/>
  <c r="S10" i="2" s="1"/>
  <c r="R15" i="2"/>
  <c r="I9" i="2"/>
  <c r="I10" i="2" s="1"/>
  <c r="I16" i="2" s="1"/>
  <c r="I20" i="2" s="1"/>
  <c r="I22" i="2" s="1"/>
  <c r="I24" i="2" s="1"/>
  <c r="I26" i="2" s="1"/>
  <c r="R8" i="2"/>
  <c r="R10" i="2" s="1"/>
  <c r="R33" i="2" s="1"/>
  <c r="S32" i="2"/>
  <c r="E9" i="2"/>
  <c r="E10" i="2"/>
  <c r="O10" i="2"/>
  <c r="O33" i="2" s="1"/>
  <c r="P10" i="2"/>
  <c r="P33" i="2" s="1"/>
  <c r="Q10" i="2"/>
  <c r="Q16" i="2" s="1"/>
  <c r="F10" i="2"/>
  <c r="F16" i="2" s="1"/>
  <c r="E16" i="2"/>
  <c r="D10" i="2"/>
  <c r="G10" i="2"/>
  <c r="C10" i="2"/>
  <c r="B10" i="2"/>
  <c r="H9" i="2"/>
  <c r="H8" i="2"/>
  <c r="H10" i="2" s="1"/>
  <c r="G5" i="2"/>
  <c r="G32" i="2" s="1"/>
  <c r="F5" i="2"/>
  <c r="E5" i="2"/>
  <c r="D5" i="2"/>
  <c r="C5" i="2"/>
  <c r="B5" i="2"/>
  <c r="H5" i="2"/>
  <c r="H32" i="2" s="1"/>
  <c r="P2" i="2"/>
  <c r="Q2" i="2" s="1"/>
  <c r="R2" i="2" s="1"/>
  <c r="S2" i="2" s="1"/>
  <c r="T2" i="2" s="1"/>
  <c r="U2" i="2" s="1"/>
  <c r="V2" i="2" s="1"/>
  <c r="W2" i="2" s="1"/>
  <c r="X2" i="2" s="1"/>
  <c r="Y2" i="2" s="1"/>
  <c r="B6" i="1"/>
  <c r="B5" i="1"/>
  <c r="B2" i="1" a="1"/>
  <c r="B2" i="1" s="1"/>
  <c r="B4" i="1" s="1"/>
  <c r="B7" i="1" s="1"/>
  <c r="W11" i="2" l="1"/>
  <c r="V15" i="2"/>
  <c r="U10" i="2"/>
  <c r="U33" i="2" s="1"/>
  <c r="V9" i="2"/>
  <c r="T10" i="2"/>
  <c r="T16" i="2" s="1"/>
  <c r="U32" i="2"/>
  <c r="V5" i="2"/>
  <c r="V32" i="2" s="1"/>
  <c r="W3" i="2"/>
  <c r="V8" i="2"/>
  <c r="S33" i="2"/>
  <c r="S16" i="2"/>
  <c r="R16" i="2"/>
  <c r="R34" i="2" s="1"/>
  <c r="E33" i="2"/>
  <c r="O16" i="2"/>
  <c r="O20" i="2" s="1"/>
  <c r="O22" i="2" s="1"/>
  <c r="O24" i="2" s="1"/>
  <c r="O26" i="2" s="1"/>
  <c r="P16" i="2"/>
  <c r="P20" i="2" s="1"/>
  <c r="P22" i="2" s="1"/>
  <c r="P24" i="2" s="1"/>
  <c r="P26" i="2" s="1"/>
  <c r="Q33" i="2"/>
  <c r="Q34" i="2"/>
  <c r="Q20" i="2"/>
  <c r="Q22" i="2" s="1"/>
  <c r="Q24" i="2" s="1"/>
  <c r="Q26" i="2" s="1"/>
  <c r="F33" i="2"/>
  <c r="B16" i="2"/>
  <c r="B33" i="2"/>
  <c r="F34" i="2"/>
  <c r="F20" i="2"/>
  <c r="F22" i="2" s="1"/>
  <c r="F24" i="2" s="1"/>
  <c r="F26" i="2" s="1"/>
  <c r="C16" i="2"/>
  <c r="C33" i="2"/>
  <c r="D16" i="2"/>
  <c r="D33" i="2"/>
  <c r="E34" i="2"/>
  <c r="E20" i="2"/>
  <c r="E22" i="2" s="1"/>
  <c r="E24" i="2" s="1"/>
  <c r="E26" i="2" s="1"/>
  <c r="G16" i="2"/>
  <c r="G33" i="2"/>
  <c r="H16" i="2"/>
  <c r="H33" i="2"/>
  <c r="F32" i="2"/>
  <c r="X11" i="2" l="1"/>
  <c r="W15" i="2"/>
  <c r="T33" i="2"/>
  <c r="V10" i="2"/>
  <c r="V33" i="2" s="1"/>
  <c r="W9" i="2"/>
  <c r="U16" i="2"/>
  <c r="U20" i="2" s="1"/>
  <c r="T20" i="2"/>
  <c r="T34" i="2"/>
  <c r="X3" i="2"/>
  <c r="W5" i="2"/>
  <c r="W32" i="2" s="1"/>
  <c r="W8" i="2"/>
  <c r="S34" i="2"/>
  <c r="S20" i="2"/>
  <c r="S22" i="2" s="1"/>
  <c r="S24" i="2" s="1"/>
  <c r="S26" i="2" s="1"/>
  <c r="R20" i="2"/>
  <c r="R22" i="2" s="1"/>
  <c r="R24" i="2" s="1"/>
  <c r="O34" i="2"/>
  <c r="P34" i="2"/>
  <c r="D20" i="2"/>
  <c r="D22" i="2" s="1"/>
  <c r="D24" i="2" s="1"/>
  <c r="D26" i="2" s="1"/>
  <c r="D34" i="2"/>
  <c r="H20" i="2"/>
  <c r="H22" i="2" s="1"/>
  <c r="H24" i="2" s="1"/>
  <c r="H26" i="2" s="1"/>
  <c r="H34" i="2"/>
  <c r="C20" i="2"/>
  <c r="C22" i="2" s="1"/>
  <c r="C24" i="2" s="1"/>
  <c r="C26" i="2" s="1"/>
  <c r="C34" i="2"/>
  <c r="G34" i="2"/>
  <c r="G20" i="2"/>
  <c r="G22" i="2" s="1"/>
  <c r="G24" i="2" s="1"/>
  <c r="G26" i="2" s="1"/>
  <c r="B20" i="2"/>
  <c r="B22" i="2" s="1"/>
  <c r="B24" i="2" s="1"/>
  <c r="B26" i="2" s="1"/>
  <c r="B34" i="2"/>
  <c r="T21" i="2" l="1"/>
  <c r="T22" i="2" s="1"/>
  <c r="T24" i="2" s="1"/>
  <c r="T26" i="2" s="1"/>
  <c r="U21" i="2"/>
  <c r="U22" i="2" s="1"/>
  <c r="U24" i="2" s="1"/>
  <c r="U26" i="2" s="1"/>
  <c r="U34" i="2"/>
  <c r="Y11" i="2"/>
  <c r="Y15" i="2" s="1"/>
  <c r="X15" i="2"/>
  <c r="V16" i="2"/>
  <c r="V20" i="2" s="1"/>
  <c r="W10" i="2"/>
  <c r="W16" i="2" s="1"/>
  <c r="Y9" i="2"/>
  <c r="X9" i="2"/>
  <c r="Y3" i="2"/>
  <c r="X5" i="2"/>
  <c r="X32" i="2" s="1"/>
  <c r="X8" i="2"/>
  <c r="X10" i="2" s="1"/>
  <c r="V22" i="2" l="1"/>
  <c r="V24" i="2" s="1"/>
  <c r="V26" i="2" s="1"/>
  <c r="V21" i="2"/>
  <c r="V34" i="2"/>
  <c r="W33" i="2"/>
  <c r="X16" i="2"/>
  <c r="X33" i="2"/>
  <c r="Y8" i="2"/>
  <c r="Y10" i="2" s="1"/>
  <c r="Y5" i="2"/>
  <c r="Y32" i="2" s="1"/>
  <c r="W34" i="2"/>
  <c r="W20" i="2"/>
  <c r="W21" i="2" l="1"/>
  <c r="W22" i="2" s="1"/>
  <c r="W24" i="2" s="1"/>
  <c r="W26" i="2" s="1"/>
  <c r="X20" i="2"/>
  <c r="X34" i="2"/>
  <c r="Y33" i="2"/>
  <c r="Y16" i="2"/>
  <c r="X21" i="2" l="1"/>
  <c r="X22" i="2" s="1"/>
  <c r="X24" i="2" s="1"/>
  <c r="X26" i="2" s="1"/>
  <c r="Y20" i="2"/>
  <c r="Y34" i="2"/>
  <c r="Y21" i="2" l="1"/>
  <c r="Y22" i="2" s="1"/>
  <c r="Y24" i="2" s="1"/>
  <c r="Y2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<sst xmlns="http://schemas.openxmlformats.org/spreadsheetml/2006/main" count="69" uniqueCount="68">
  <si>
    <t>ticket</t>
  </si>
  <si>
    <t>price</t>
  </si>
  <si>
    <t>shares</t>
  </si>
  <si>
    <t>mc</t>
  </si>
  <si>
    <t>cash</t>
  </si>
  <si>
    <t>debt</t>
  </si>
  <si>
    <t>ev</t>
  </si>
  <si>
    <t>Q1 2022</t>
  </si>
  <si>
    <t>Q2 2022</t>
  </si>
  <si>
    <t>Q3 2022</t>
  </si>
  <si>
    <t>Q4 2022</t>
  </si>
  <si>
    <t>Q1 2023</t>
  </si>
  <si>
    <t>Q2 2023</t>
  </si>
  <si>
    <t>Q3 2023</t>
  </si>
  <si>
    <t>Q4 2023</t>
  </si>
  <si>
    <t>Q1 2024</t>
  </si>
  <si>
    <t>Q2 2024</t>
  </si>
  <si>
    <t>Q3 2024</t>
  </si>
  <si>
    <t>Q4 2024</t>
  </si>
  <si>
    <t>Site Leasing</t>
  </si>
  <si>
    <t>Site Development</t>
  </si>
  <si>
    <t>Total Revenue</t>
  </si>
  <si>
    <t>Cost of leasing</t>
  </si>
  <si>
    <t>cost of development</t>
  </si>
  <si>
    <t>Gross Profit Leasing</t>
  </si>
  <si>
    <t>Gross Profit Development</t>
  </si>
  <si>
    <t>Total Gross Profit</t>
  </si>
  <si>
    <t>S&amp;G&amp;A</t>
  </si>
  <si>
    <t>Acquisitions &amp; new businees</t>
  </si>
  <si>
    <t>Asset impairment</t>
  </si>
  <si>
    <t>D&amp;A</t>
  </si>
  <si>
    <t>Total Opex</t>
  </si>
  <si>
    <t>Operating Income</t>
  </si>
  <si>
    <t>Net Interest</t>
  </si>
  <si>
    <t>Non-cash interest &amp; Amortization</t>
  </si>
  <si>
    <t>Other Income(expenses)</t>
  </si>
  <si>
    <t>Pretax Income</t>
  </si>
  <si>
    <t>Taxes</t>
  </si>
  <si>
    <t>Net Income</t>
  </si>
  <si>
    <t>Shares</t>
  </si>
  <si>
    <t>EPS</t>
  </si>
  <si>
    <t>Non Controling interests</t>
  </si>
  <si>
    <t>Net Income to SBA shareholders</t>
  </si>
  <si>
    <t>31/09/2023</t>
  </si>
  <si>
    <t>31/09/2022</t>
  </si>
  <si>
    <t>CFFO</t>
  </si>
  <si>
    <t>CAPEX</t>
  </si>
  <si>
    <t>FCF</t>
  </si>
  <si>
    <t>Revenue Y/Y %</t>
  </si>
  <si>
    <t>Gross Margin %</t>
  </si>
  <si>
    <t>Operating Margin %</t>
  </si>
  <si>
    <t>balance sheet</t>
  </si>
  <si>
    <t>A/R</t>
  </si>
  <si>
    <t>Billings</t>
  </si>
  <si>
    <t>PP&amp;E</t>
  </si>
  <si>
    <t>Intangibles</t>
  </si>
  <si>
    <t>Operating Lease</t>
  </si>
  <si>
    <t>Acquired right of use assets</t>
  </si>
  <si>
    <t>Total Assets</t>
  </si>
  <si>
    <t>Prepaid expenses</t>
  </si>
  <si>
    <t>Other Assets</t>
  </si>
  <si>
    <t>A/P</t>
  </si>
  <si>
    <t>Accrued expenses</t>
  </si>
  <si>
    <t>Debt</t>
  </si>
  <si>
    <t>Current Lease</t>
  </si>
  <si>
    <t>other liabilities</t>
  </si>
  <si>
    <t>Total Liabilities</t>
  </si>
  <si>
    <t>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</si>
</sst>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_-[$$-409]* #,##0.00_ ;_-[$$-409]* \-#,##0.00\ ;_-[$$-409]* &quot;-&quot;??_ ;_-@_ "/>
    <numFmt numFmtId="167" formatCode="[$$-409]#,##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164" fontId="0" fillId="0" borderId="0" xfId="0" applyNumberFormat="1"/>
    <xf numFmtId="165" fontId="0" fillId="0" borderId="0" xfId="0" applyNumberFormat="1"/>
    <xf numFmtId="0" fontId="2" fillId="0" borderId="0" xfId="0" applyFont="1"/>
    <xf numFmtId="167" fontId="0" fillId="0" borderId="0" xfId="0" applyNumberFormat="1"/>
    <xf numFmtId="4" fontId="0" fillId="0" borderId="0" xfId="0" applyNumberFormat="1"/>
    <xf numFmtId="9" fontId="0" fillId="0" borderId="0" xfId="1" applyFont="1"/>
    <xf numFmtId="4" fontId="2"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8</xdr:col>
      <xdr:colOff>9525</xdr:colOff>
      <xdr:row>0</xdr:row>
      <xdr:rowOff>19050</xdr:rowOff>
    </xdr:from>
    <xdr:to>
      <xdr:col>8</xdr:col>
      <xdr:colOff>28575</xdr:colOff>
      <xdr:row>34</xdr:row>
      <xdr:rowOff>123825</xdr:rowOff>
    </xdr:to>
    <xdr:cxnSp macro="">
      <xdr:nvCxnSpPr>
        <xdr:cNvPr id="3" name="Straight Connector 2">
          <a:extLst>
            <a:ext uri="{FF2B5EF4-FFF2-40B4-BE49-F238E27FC236}">
              <a16:creationId xmlns:a16="http://schemas.microsoft.com/office/drawing/2014/main" id="{0038D8B6-EA77-B35A-BCB1-C940D80B3722}"/>
            </a:ext>
          </a:extLst>
        </xdr:cNvPr>
        <xdr:cNvCxnSpPr/>
      </xdr:nvCxnSpPr>
      <xdr:spPr>
        <a:xfrm>
          <a:off x="6143625" y="19050"/>
          <a:ext cx="19050" cy="6581775"/>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9525</xdr:colOff>
      <xdr:row>0</xdr:row>
      <xdr:rowOff>152400</xdr:rowOff>
    </xdr:from>
    <xdr:to>
      <xdr:col>17</xdr:col>
      <xdr:colOff>9525</xdr:colOff>
      <xdr:row>35</xdr:row>
      <xdr:rowOff>47625</xdr:rowOff>
    </xdr:to>
    <xdr:cxnSp macro="">
      <xdr:nvCxnSpPr>
        <xdr:cNvPr id="5" name="Straight Connector 4">
          <a:extLst>
            <a:ext uri="{FF2B5EF4-FFF2-40B4-BE49-F238E27FC236}">
              <a16:creationId xmlns:a16="http://schemas.microsoft.com/office/drawing/2014/main" id="{E5CACE8C-4B35-F8AD-B66C-517BFF89F91E}"/>
            </a:ext>
          </a:extLst>
        </xdr:cNvPr>
        <xdr:cNvCxnSpPr/>
      </xdr:nvCxnSpPr>
      <xdr:spPr>
        <a:xfrm>
          <a:off x="11201400" y="152400"/>
          <a:ext cx="0" cy="6562725"/>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https://www.bing.com/financeapi/forcetrigger?t=a22i27&amp;q=XNAS%3aSBAC&amp;form=skydnc</v>
    <v>Learn more on Bing</v>
  </rv>
  <rv s="1">
    <v>en-GB</v>
    <v>a22i27</v>
    <v>268435456</v>
    <v>1</v>
    <v>Powered by Refinitiv</v>
    <v>0</v>
    <v>SBA Communications Corporation (XNAS:SBAC)</v>
    <v>2</v>
    <v>3</v>
    <v>Finance</v>
    <v>4</v>
    <v>312.33999999999997</v>
    <v>185.23</v>
    <v>0.60940000000000005</v>
    <v>-2.34</v>
    <v>0</v>
    <v>-9.3289999999999988E-3</v>
    <v>0</v>
    <v>USD</v>
    <v>SBA Communications Corporation is an independent owner and operator of wireless communications infrastructure, including towers, buildings, rooftops, distributed antenna systems (DAS) and small cells. The Company’s primary focus is the leasing of antenna space on its multi-tenant towers to a variety of wireless service providers under long-term lease contracts in the United States, South America, Central America, Canada, South Africa, the Philippines, and Tanzania. It operates through two segments: Domestic Site Leasing and International Site Leasing. Domestic Site Leasing segment leases to T-Mobile, AT&amp;T Wireless, Verizon Wireless, and DISH Wireless. The segment owns approximately 17,416 sites in the United States and its territories. International Site Leasing segment owns and operates approximately 21,895 towers in 15 international markets throughout South America, Central America, Canada, South Africa, the Philippines, and Tanzania.</v>
    <v>1834</v>
    <v>Nasdaq Stock Market</v>
    <v>XNAS</v>
    <v>XNAS</v>
    <v>8051 Congress Avenue, BOCA RATON, FL, 33487 US</v>
    <v>251.4</v>
    <v>Residential &amp; Commercial REIT</v>
    <v>Stock</v>
    <v>45275.900945312504</v>
    <v>0</v>
    <v>246.07</v>
    <v>26808840630</v>
    <v>SBA Communications Corporation</v>
    <v>SBA Communications Corporation</v>
    <v>251.31</v>
    <v>55.195799999999998</v>
    <v>250.83</v>
    <v>248.49</v>
    <v>248.49</v>
    <v>107887000</v>
    <v>SBAC</v>
    <v>SBA Communications Corporation (XNAS:SBAC)</v>
    <v>1385403</v>
    <v>786322</v>
    <v>2016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2F50D-B867-4BD3-BB35-CE6ACF49D63D}">
  <dimension ref="A1:B7"/>
  <sheetViews>
    <sheetView workbookViewId="0">
      <selection activeCell="A9" sqref="A9"/>
    </sheetView>
  </sheetViews>
  <sheetFormatPr defaultRowHeight="15" x14ac:dyDescent="0.25"/>
  <cols>
    <col min="2" max="2" width="11.140625" bestFit="1" customWidth="1"/>
  </cols>
  <sheetData>
    <row r="1" spans="1:2" x14ac:dyDescent="0.25">
      <c r="A1" t="s">
        <v>0</v>
      </c>
      <c r="B1" t="e" vm="1">
        <v>#VALUE!</v>
      </c>
    </row>
    <row r="2" spans="1:2" x14ac:dyDescent="0.25">
      <c r="A2" t="s">
        <v>1</v>
      </c>
      <c r="B2" s="1" cm="1">
        <f t="array" ref="B2">_FV(B1,"Price")</f>
        <v>248.49</v>
      </c>
    </row>
    <row r="3" spans="1:2" x14ac:dyDescent="0.25">
      <c r="A3" t="s">
        <v>2</v>
      </c>
      <c r="B3">
        <v>107.887</v>
      </c>
    </row>
    <row r="4" spans="1:2" x14ac:dyDescent="0.25">
      <c r="A4" t="s">
        <v>3</v>
      </c>
      <c r="B4" s="2">
        <f>B2*B3</f>
        <v>26808.840630000002</v>
      </c>
    </row>
    <row r="5" spans="1:2" x14ac:dyDescent="0.25">
      <c r="A5" t="s">
        <v>4</v>
      </c>
      <c r="B5">
        <f>190.545+37.221</f>
        <v>227.76599999999999</v>
      </c>
    </row>
    <row r="6" spans="1:2" x14ac:dyDescent="0.25">
      <c r="A6" t="s">
        <v>5</v>
      </c>
      <c r="B6">
        <f>24+12491.102</f>
        <v>12515.102000000001</v>
      </c>
    </row>
    <row r="7" spans="1:2" x14ac:dyDescent="0.25">
      <c r="A7" t="s">
        <v>6</v>
      </c>
      <c r="B7" s="2">
        <f>B4-B5+B6</f>
        <v>39096.176630000002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9F81B-FC84-4A1A-A019-5F47B75554C4}">
  <dimension ref="A1:Y54"/>
  <sheetViews>
    <sheetView tabSelected="1" workbookViewId="0">
      <pane xSplit="1" ySplit="2" topLeftCell="B6" activePane="bottomRight" state="frozen"/>
      <selection pane="topRight" activeCell="B1" sqref="B1"/>
      <selection pane="bottomLeft" activeCell="A3" sqref="A3"/>
      <selection pane="bottomRight" activeCell="L38" sqref="L38"/>
    </sheetView>
  </sheetViews>
  <sheetFormatPr defaultRowHeight="15" x14ac:dyDescent="0.25"/>
  <cols>
    <col min="1" max="1" width="31.28515625" bestFit="1" customWidth="1"/>
    <col min="2" max="3" width="7.85546875" bestFit="1" customWidth="1"/>
    <col min="4" max="4" width="10.7109375" bestFit="1" customWidth="1"/>
    <col min="5" max="7" width="7.85546875" bestFit="1" customWidth="1"/>
    <col min="8" max="8" width="10.7109375" bestFit="1" customWidth="1"/>
    <col min="9" max="13" width="7.85546875" bestFit="1" customWidth="1"/>
  </cols>
  <sheetData>
    <row r="1" spans="1:25" x14ac:dyDescent="0.25">
      <c r="D1" t="s">
        <v>44</v>
      </c>
      <c r="H1" t="s">
        <v>43</v>
      </c>
    </row>
    <row r="2" spans="1:25" x14ac:dyDescent="0.25">
      <c r="A2" s="3"/>
      <c r="B2" s="3" t="s">
        <v>7</v>
      </c>
      <c r="C2" s="3" t="s">
        <v>8</v>
      </c>
      <c r="D2" s="3" t="s">
        <v>9</v>
      </c>
      <c r="E2" s="3" t="s">
        <v>10</v>
      </c>
      <c r="F2" s="3" t="s">
        <v>11</v>
      </c>
      <c r="G2" s="3" t="s">
        <v>12</v>
      </c>
      <c r="H2" s="3" t="s">
        <v>13</v>
      </c>
      <c r="I2" s="3" t="s">
        <v>14</v>
      </c>
      <c r="J2" s="3" t="s">
        <v>15</v>
      </c>
      <c r="K2" s="3" t="s">
        <v>16</v>
      </c>
      <c r="L2" s="3" t="s">
        <v>17</v>
      </c>
      <c r="M2" s="3" t="s">
        <v>18</v>
      </c>
      <c r="N2" s="3"/>
      <c r="O2" s="3">
        <v>2020</v>
      </c>
      <c r="P2" s="3">
        <f>O2+1</f>
        <v>2021</v>
      </c>
      <c r="Q2" s="3">
        <f>P2+1</f>
        <v>2022</v>
      </c>
      <c r="R2" s="3">
        <f t="shared" ref="R2:Y2" si="0">Q2+1</f>
        <v>2023</v>
      </c>
      <c r="S2" s="3">
        <f t="shared" si="0"/>
        <v>2024</v>
      </c>
      <c r="T2" s="3">
        <f t="shared" si="0"/>
        <v>2025</v>
      </c>
      <c r="U2" s="3">
        <f t="shared" si="0"/>
        <v>2026</v>
      </c>
      <c r="V2" s="3">
        <f t="shared" si="0"/>
        <v>2027</v>
      </c>
      <c r="W2" s="3">
        <f t="shared" si="0"/>
        <v>2028</v>
      </c>
      <c r="X2" s="3">
        <f t="shared" si="0"/>
        <v>2029</v>
      </c>
      <c r="Y2" s="3">
        <f t="shared" si="0"/>
        <v>2030</v>
      </c>
    </row>
    <row r="3" spans="1:25" x14ac:dyDescent="0.25">
      <c r="A3" t="s">
        <v>19</v>
      </c>
      <c r="B3" s="5">
        <v>559.43200000000002</v>
      </c>
      <c r="C3" s="5">
        <v>580.23299999999995</v>
      </c>
      <c r="D3" s="5">
        <v>587.30200000000002</v>
      </c>
      <c r="E3" s="5">
        <f>Q3-SUM(B3:D3)</f>
        <v>609.60799999999972</v>
      </c>
      <c r="F3" s="5">
        <v>617.26800000000003</v>
      </c>
      <c r="G3" s="5">
        <v>626.14300000000003</v>
      </c>
      <c r="H3" s="5">
        <v>637.44000000000005</v>
      </c>
      <c r="I3" s="5">
        <f>E3*1.06</f>
        <v>646.18447999999978</v>
      </c>
      <c r="J3" s="5"/>
      <c r="K3" s="5"/>
      <c r="L3" s="5"/>
      <c r="M3" s="5"/>
      <c r="O3" s="5">
        <v>1954.472</v>
      </c>
      <c r="P3" s="5">
        <v>2104.087</v>
      </c>
      <c r="Q3" s="5">
        <v>2336.5749999999998</v>
      </c>
      <c r="R3" s="5">
        <f>SUM(F3:I3)</f>
        <v>2527.03548</v>
      </c>
      <c r="S3" s="5">
        <f>R3*1.05</f>
        <v>2653.3872540000002</v>
      </c>
      <c r="T3" s="5">
        <f>S3*1.07</f>
        <v>2839.1243617800005</v>
      </c>
      <c r="U3" s="5">
        <f t="shared" ref="T3:Y3" si="1">T3*1.05</f>
        <v>2981.0805798690008</v>
      </c>
      <c r="V3" s="5">
        <f t="shared" si="1"/>
        <v>3130.1346088624509</v>
      </c>
      <c r="W3" s="5">
        <f t="shared" si="1"/>
        <v>3286.6413393055736</v>
      </c>
      <c r="X3" s="5">
        <f t="shared" si="1"/>
        <v>3450.9734062708526</v>
      </c>
      <c r="Y3" s="5">
        <f t="shared" si="1"/>
        <v>3623.5220765843956</v>
      </c>
    </row>
    <row r="4" spans="1:25" x14ac:dyDescent="0.25">
      <c r="A4" t="s">
        <v>20</v>
      </c>
      <c r="B4" s="5">
        <v>60.338000000000001</v>
      </c>
      <c r="C4" s="5">
        <v>71.772999999999996</v>
      </c>
      <c r="D4" s="5">
        <v>88.281999999999996</v>
      </c>
      <c r="E4" s="5">
        <f t="shared" ref="E4" si="2">Q4-SUM(B4:D4)</f>
        <v>76.486000000000047</v>
      </c>
      <c r="F4" s="5">
        <v>58.247999999999998</v>
      </c>
      <c r="G4" s="5">
        <v>52.356999999999999</v>
      </c>
      <c r="H4" s="5">
        <v>45.103999999999999</v>
      </c>
      <c r="I4" s="5">
        <f>E4*0.9</f>
        <v>68.837400000000045</v>
      </c>
      <c r="J4" s="5"/>
      <c r="K4" s="5"/>
      <c r="L4" s="5"/>
      <c r="M4" s="5"/>
      <c r="O4" s="5">
        <v>128.666</v>
      </c>
      <c r="P4" s="5">
        <v>204.74700000000001</v>
      </c>
      <c r="Q4" s="5">
        <v>296.87900000000002</v>
      </c>
      <c r="R4" s="5">
        <f t="shared" ref="R4" si="3">SUM(F4:I4)</f>
        <v>224.54640000000006</v>
      </c>
      <c r="S4" s="5">
        <f>R4*1.01</f>
        <v>226.79186400000006</v>
      </c>
      <c r="T4" s="5">
        <f>S4*1.025</f>
        <v>232.46166060000004</v>
      </c>
      <c r="U4" s="5">
        <f t="shared" ref="U4:Y4" si="4">T4*1.025</f>
        <v>238.27320211500003</v>
      </c>
      <c r="V4" s="5">
        <f t="shared" si="4"/>
        <v>244.23003216787501</v>
      </c>
      <c r="W4" s="5">
        <f t="shared" si="4"/>
        <v>250.33578297207185</v>
      </c>
      <c r="X4" s="5">
        <f t="shared" si="4"/>
        <v>256.5941775463736</v>
      </c>
      <c r="Y4" s="5">
        <f t="shared" si="4"/>
        <v>263.00903198503289</v>
      </c>
    </row>
    <row r="5" spans="1:25" x14ac:dyDescent="0.25">
      <c r="A5" s="3" t="s">
        <v>21</v>
      </c>
      <c r="B5" s="7">
        <f t="shared" ref="B5:G5" si="5">B3+B4</f>
        <v>619.77</v>
      </c>
      <c r="C5" s="7">
        <f t="shared" si="5"/>
        <v>652.00599999999997</v>
      </c>
      <c r="D5" s="7">
        <f t="shared" si="5"/>
        <v>675.58400000000006</v>
      </c>
      <c r="E5" s="7">
        <f t="shared" si="5"/>
        <v>686.09399999999982</v>
      </c>
      <c r="F5" s="7">
        <f t="shared" si="5"/>
        <v>675.51600000000008</v>
      </c>
      <c r="G5" s="7">
        <f t="shared" si="5"/>
        <v>678.5</v>
      </c>
      <c r="H5" s="7">
        <f>H3+H4</f>
        <v>682.5440000000001</v>
      </c>
      <c r="I5" s="7">
        <f t="shared" ref="I5:R5" si="6">I3+I4</f>
        <v>715.02187999999978</v>
      </c>
      <c r="J5" s="7">
        <f t="shared" si="6"/>
        <v>0</v>
      </c>
      <c r="K5" s="7">
        <f t="shared" si="6"/>
        <v>0</v>
      </c>
      <c r="L5" s="7">
        <f t="shared" si="6"/>
        <v>0</v>
      </c>
      <c r="M5" s="7">
        <f t="shared" si="6"/>
        <v>0</v>
      </c>
      <c r="N5" s="7"/>
      <c r="O5" s="7">
        <f t="shared" si="6"/>
        <v>2083.1379999999999</v>
      </c>
      <c r="P5" s="7">
        <f t="shared" si="6"/>
        <v>2308.8339999999998</v>
      </c>
      <c r="Q5" s="7">
        <f t="shared" si="6"/>
        <v>2633.4539999999997</v>
      </c>
      <c r="R5" s="7">
        <f t="shared" ref="R5" si="7">R3+R4</f>
        <v>2751.5818800000002</v>
      </c>
      <c r="S5" s="7">
        <f t="shared" ref="S5" si="8">S3+S4</f>
        <v>2880.1791180000005</v>
      </c>
      <c r="T5" s="7">
        <f t="shared" ref="T5" si="9">T3+T4</f>
        <v>3071.5860223800005</v>
      </c>
      <c r="U5" s="7">
        <f t="shared" ref="U5" si="10">U3+U4</f>
        <v>3219.3537819840008</v>
      </c>
      <c r="V5" s="7">
        <f t="shared" ref="V5" si="11">V3+V4</f>
        <v>3374.3646410303259</v>
      </c>
      <c r="W5" s="7">
        <f t="shared" ref="W5" si="12">W3+W4</f>
        <v>3536.9771222776453</v>
      </c>
      <c r="X5" s="7">
        <f t="shared" ref="X5" si="13">X3+X4</f>
        <v>3707.567583817226</v>
      </c>
      <c r="Y5" s="7">
        <f t="shared" ref="Y5" si="14">Y3+Y4</f>
        <v>3886.5311085694284</v>
      </c>
    </row>
    <row r="6" spans="1:25" x14ac:dyDescent="0.25">
      <c r="A6" t="s">
        <v>22</v>
      </c>
      <c r="B6" s="5">
        <v>107.155</v>
      </c>
      <c r="C6" s="5">
        <v>111.515</v>
      </c>
      <c r="D6" s="5">
        <v>112.01300000000001</v>
      </c>
      <c r="E6" s="5">
        <f t="shared" ref="E6:E7" si="15">Q6-SUM(B6:D6)</f>
        <v>115.00200000000001</v>
      </c>
      <c r="F6" s="5">
        <v>120.119</v>
      </c>
      <c r="G6" s="5">
        <v>115.014</v>
      </c>
      <c r="H6" s="5">
        <v>118.277</v>
      </c>
      <c r="I6" s="5">
        <f>E6*1.015</f>
        <v>116.72703</v>
      </c>
      <c r="J6" s="5"/>
      <c r="K6" s="5"/>
      <c r="L6" s="5"/>
      <c r="M6" s="5"/>
      <c r="O6" s="5">
        <v>373.77800000000002</v>
      </c>
      <c r="P6" s="5">
        <v>386.39100000000002</v>
      </c>
      <c r="Q6" s="5">
        <v>445.685</v>
      </c>
      <c r="R6" s="5">
        <f t="shared" ref="R6:R7" si="16">SUM(F6:I6)</f>
        <v>470.13702999999998</v>
      </c>
      <c r="S6" s="5">
        <f>R6*1.015</f>
        <v>477.18908544999994</v>
      </c>
      <c r="T6" s="5">
        <f t="shared" ref="T6:Y6" si="17">S6*1.015</f>
        <v>484.34692173174989</v>
      </c>
      <c r="U6" s="5">
        <f t="shared" si="17"/>
        <v>491.61212555772607</v>
      </c>
      <c r="V6" s="5">
        <f t="shared" si="17"/>
        <v>498.98630744109192</v>
      </c>
      <c r="W6" s="5">
        <f t="shared" si="17"/>
        <v>506.47110205270826</v>
      </c>
      <c r="X6" s="5">
        <f t="shared" si="17"/>
        <v>514.06816858349885</v>
      </c>
      <c r="Y6" s="5">
        <f t="shared" si="17"/>
        <v>521.77919111225128</v>
      </c>
    </row>
    <row r="7" spans="1:25" x14ac:dyDescent="0.25">
      <c r="A7" t="s">
        <v>23</v>
      </c>
      <c r="B7" s="5">
        <v>45.773000000000003</v>
      </c>
      <c r="C7" s="5">
        <v>54.497</v>
      </c>
      <c r="D7" s="5">
        <v>65.540000000000006</v>
      </c>
      <c r="E7" s="5">
        <f t="shared" si="15"/>
        <v>57.155000000000001</v>
      </c>
      <c r="F7" s="5">
        <v>44.185000000000002</v>
      </c>
      <c r="G7" s="5">
        <v>39.235999999999997</v>
      </c>
      <c r="H7" s="5">
        <v>31.492999999999999</v>
      </c>
      <c r="I7" s="5">
        <f t="shared" ref="I7" si="18">E7*1.015</f>
        <v>58.012324999999997</v>
      </c>
      <c r="J7" s="5"/>
      <c r="K7" s="5"/>
      <c r="L7" s="5"/>
      <c r="M7" s="5"/>
      <c r="O7" s="5">
        <v>102.75</v>
      </c>
      <c r="P7" s="5">
        <v>159.09299999999999</v>
      </c>
      <c r="Q7" s="5">
        <v>222.965</v>
      </c>
      <c r="R7" s="5">
        <f t="shared" si="16"/>
        <v>172.92632499999999</v>
      </c>
      <c r="S7" s="5">
        <f>R7*1.02</f>
        <v>176.3848515</v>
      </c>
      <c r="T7" s="5">
        <f t="shared" ref="T7:Y7" si="19">S7*1.02</f>
        <v>179.91254853000001</v>
      </c>
      <c r="U7" s="5">
        <f t="shared" si="19"/>
        <v>183.5107995006</v>
      </c>
      <c r="V7" s="5">
        <f t="shared" si="19"/>
        <v>187.181015490612</v>
      </c>
      <c r="W7" s="5">
        <f t="shared" si="19"/>
        <v>190.92463580042423</v>
      </c>
      <c r="X7" s="5">
        <f t="shared" si="19"/>
        <v>194.74312851643271</v>
      </c>
      <c r="Y7" s="5">
        <f t="shared" si="19"/>
        <v>198.63799108676136</v>
      </c>
    </row>
    <row r="8" spans="1:25" x14ac:dyDescent="0.25">
      <c r="A8" t="s">
        <v>24</v>
      </c>
      <c r="B8" s="5">
        <f t="shared" ref="B8:H8" si="20">B3-B6</f>
        <v>452.27700000000004</v>
      </c>
      <c r="C8" s="5">
        <f t="shared" si="20"/>
        <v>468.71799999999996</v>
      </c>
      <c r="D8" s="5">
        <f t="shared" si="20"/>
        <v>475.28899999999999</v>
      </c>
      <c r="E8" s="5">
        <f t="shared" si="20"/>
        <v>494.60599999999971</v>
      </c>
      <c r="F8" s="5">
        <f t="shared" si="20"/>
        <v>497.149</v>
      </c>
      <c r="G8" s="5">
        <f t="shared" si="20"/>
        <v>511.12900000000002</v>
      </c>
      <c r="H8" s="5">
        <f>H3-H6</f>
        <v>519.16300000000001</v>
      </c>
      <c r="I8" s="5">
        <f t="shared" ref="I8:Y8" si="21">I3-I6</f>
        <v>529.45744999999977</v>
      </c>
      <c r="J8" s="5">
        <f t="shared" si="21"/>
        <v>0</v>
      </c>
      <c r="K8" s="5">
        <f t="shared" si="21"/>
        <v>0</v>
      </c>
      <c r="L8" s="5">
        <f t="shared" si="21"/>
        <v>0</v>
      </c>
      <c r="M8" s="5">
        <f t="shared" si="21"/>
        <v>0</v>
      </c>
      <c r="N8" s="5"/>
      <c r="O8" s="5">
        <f t="shared" si="21"/>
        <v>1580.694</v>
      </c>
      <c r="P8" s="5">
        <f t="shared" si="21"/>
        <v>1717.6959999999999</v>
      </c>
      <c r="Q8" s="5">
        <f t="shared" si="21"/>
        <v>1890.8899999999999</v>
      </c>
      <c r="R8" s="5">
        <f t="shared" si="21"/>
        <v>2056.8984500000001</v>
      </c>
      <c r="S8" s="5">
        <f t="shared" si="21"/>
        <v>2176.1981685500004</v>
      </c>
      <c r="T8" s="5">
        <f t="shared" si="21"/>
        <v>2354.7774400482508</v>
      </c>
      <c r="U8" s="5">
        <f t="shared" si="21"/>
        <v>2489.4684543112749</v>
      </c>
      <c r="V8" s="5">
        <f t="shared" si="21"/>
        <v>2631.1483014213591</v>
      </c>
      <c r="W8" s="5">
        <f t="shared" si="21"/>
        <v>2780.1702372528653</v>
      </c>
      <c r="X8" s="5">
        <f t="shared" si="21"/>
        <v>2936.9052376873537</v>
      </c>
      <c r="Y8" s="5">
        <f t="shared" si="21"/>
        <v>3101.7428854721443</v>
      </c>
    </row>
    <row r="9" spans="1:25" x14ac:dyDescent="0.25">
      <c r="A9" t="s">
        <v>25</v>
      </c>
      <c r="B9" s="5">
        <f t="shared" ref="B9:H9" si="22">B4-B7</f>
        <v>14.564999999999998</v>
      </c>
      <c r="C9" s="5">
        <f t="shared" si="22"/>
        <v>17.275999999999996</v>
      </c>
      <c r="D9" s="5">
        <f t="shared" si="22"/>
        <v>22.74199999999999</v>
      </c>
      <c r="E9" s="5">
        <f t="shared" si="22"/>
        <v>19.331000000000046</v>
      </c>
      <c r="F9" s="5">
        <f t="shared" si="22"/>
        <v>14.062999999999995</v>
      </c>
      <c r="G9" s="5">
        <f t="shared" si="22"/>
        <v>13.121000000000002</v>
      </c>
      <c r="H9" s="5">
        <f t="shared" ref="H9:Y9" si="23">H4-H7</f>
        <v>13.611000000000001</v>
      </c>
      <c r="I9" s="5">
        <f t="shared" si="23"/>
        <v>10.825075000000048</v>
      </c>
      <c r="J9" s="5">
        <f t="shared" si="23"/>
        <v>0</v>
      </c>
      <c r="K9" s="5">
        <f t="shared" si="23"/>
        <v>0</v>
      </c>
      <c r="L9" s="5">
        <f t="shared" si="23"/>
        <v>0</v>
      </c>
      <c r="M9" s="5">
        <f t="shared" si="23"/>
        <v>0</v>
      </c>
      <c r="N9" s="5"/>
      <c r="O9" s="5">
        <f t="shared" si="23"/>
        <v>25.915999999999997</v>
      </c>
      <c r="P9" s="5">
        <f t="shared" si="23"/>
        <v>45.654000000000025</v>
      </c>
      <c r="Q9" s="5">
        <f t="shared" si="23"/>
        <v>73.914000000000016</v>
      </c>
      <c r="R9" s="5">
        <f t="shared" si="23"/>
        <v>51.620075000000071</v>
      </c>
      <c r="S9" s="5">
        <f t="shared" si="23"/>
        <v>50.407012500000064</v>
      </c>
      <c r="T9" s="5">
        <f t="shared" si="23"/>
        <v>52.549112070000035</v>
      </c>
      <c r="U9" s="5">
        <f t="shared" si="23"/>
        <v>54.762402614400031</v>
      </c>
      <c r="V9" s="5">
        <f t="shared" si="23"/>
        <v>57.049016677263012</v>
      </c>
      <c r="W9" s="5">
        <f t="shared" si="23"/>
        <v>59.411147171647627</v>
      </c>
      <c r="X9" s="5">
        <f t="shared" si="23"/>
        <v>61.851049029940896</v>
      </c>
      <c r="Y9" s="5">
        <f t="shared" si="23"/>
        <v>64.371040898271531</v>
      </c>
    </row>
    <row r="10" spans="1:25" x14ac:dyDescent="0.25">
      <c r="A10" s="3" t="s">
        <v>26</v>
      </c>
      <c r="B10" s="7">
        <f t="shared" ref="B10:G10" si="24">B8+B9</f>
        <v>466.84200000000004</v>
      </c>
      <c r="C10" s="7">
        <f t="shared" si="24"/>
        <v>485.99399999999997</v>
      </c>
      <c r="D10" s="7">
        <f t="shared" si="24"/>
        <v>498.03099999999995</v>
      </c>
      <c r="E10" s="7">
        <f t="shared" si="24"/>
        <v>513.93699999999978</v>
      </c>
      <c r="F10" s="7">
        <f t="shared" si="24"/>
        <v>511.21199999999999</v>
      </c>
      <c r="G10" s="7">
        <f t="shared" si="24"/>
        <v>524.25</v>
      </c>
      <c r="H10" s="7">
        <f>H8+H9</f>
        <v>532.774</v>
      </c>
      <c r="I10" s="7">
        <f t="shared" ref="I10:Q10" si="25">I8+I9</f>
        <v>540.28252499999985</v>
      </c>
      <c r="J10" s="7">
        <f t="shared" si="25"/>
        <v>0</v>
      </c>
      <c r="K10" s="7">
        <f t="shared" si="25"/>
        <v>0</v>
      </c>
      <c r="L10" s="7">
        <f t="shared" si="25"/>
        <v>0</v>
      </c>
      <c r="M10" s="7">
        <f t="shared" si="25"/>
        <v>0</v>
      </c>
      <c r="N10" s="7"/>
      <c r="O10" s="7">
        <f t="shared" si="25"/>
        <v>1606.61</v>
      </c>
      <c r="P10" s="7">
        <f t="shared" si="25"/>
        <v>1763.35</v>
      </c>
      <c r="Q10" s="7">
        <f t="shared" si="25"/>
        <v>1964.8039999999999</v>
      </c>
      <c r="R10" s="7">
        <f t="shared" ref="R10" si="26">R8+R9</f>
        <v>2108.5185250000004</v>
      </c>
      <c r="S10" s="7">
        <f t="shared" ref="S10" si="27">S8+S9</f>
        <v>2226.6051810500003</v>
      </c>
      <c r="T10" s="7">
        <f t="shared" ref="T10" si="28">T8+T9</f>
        <v>2407.3265521182507</v>
      </c>
      <c r="U10" s="7">
        <f t="shared" ref="U10" si="29">U8+U9</f>
        <v>2544.2308569256747</v>
      </c>
      <c r="V10" s="7">
        <f t="shared" ref="V10" si="30">V8+V9</f>
        <v>2688.197318098622</v>
      </c>
      <c r="W10" s="7">
        <f t="shared" ref="W10" si="31">W8+W9</f>
        <v>2839.5813844245131</v>
      </c>
      <c r="X10" s="7">
        <f t="shared" ref="X10" si="32">X8+X9</f>
        <v>2998.7562867172946</v>
      </c>
      <c r="Y10" s="7">
        <f t="shared" ref="Y10" si="33">Y8+Y9</f>
        <v>3166.1139263704158</v>
      </c>
    </row>
    <row r="11" spans="1:25" x14ac:dyDescent="0.25">
      <c r="A11" t="s">
        <v>27</v>
      </c>
      <c r="B11" s="5">
        <v>62.213999999999999</v>
      </c>
      <c r="C11" s="5">
        <v>63.274000000000001</v>
      </c>
      <c r="D11" s="5">
        <v>65.843000000000004</v>
      </c>
      <c r="E11" s="5">
        <f t="shared" ref="E11:E14" si="34">Q11-SUM(B11:D11)</f>
        <v>70.521999999999991</v>
      </c>
      <c r="F11" s="5">
        <v>72.209000000000003</v>
      </c>
      <c r="G11" s="5">
        <v>63.383000000000003</v>
      </c>
      <c r="H11" s="5">
        <v>64.820999999999998</v>
      </c>
      <c r="I11" s="5">
        <f>E11*1.02</f>
        <v>71.932439999999986</v>
      </c>
      <c r="J11" s="5"/>
      <c r="K11" s="5"/>
      <c r="L11" s="5"/>
      <c r="M11" s="5"/>
      <c r="O11" s="5">
        <v>194.267</v>
      </c>
      <c r="P11" s="5">
        <v>220.029</v>
      </c>
      <c r="Q11" s="5">
        <v>261.85300000000001</v>
      </c>
      <c r="R11" s="5">
        <f t="shared" ref="R11:R14" si="35">SUM(F11:I11)</f>
        <v>272.34544</v>
      </c>
      <c r="S11" s="5">
        <f>R11*1.03</f>
        <v>280.51580319999999</v>
      </c>
      <c r="T11" s="5">
        <f t="shared" ref="T11:Y11" si="36">S11*1.03</f>
        <v>288.93127729600002</v>
      </c>
      <c r="U11" s="5">
        <f t="shared" si="36"/>
        <v>297.59921561488005</v>
      </c>
      <c r="V11" s="5">
        <f t="shared" si="36"/>
        <v>306.52719208332644</v>
      </c>
      <c r="W11" s="5">
        <f t="shared" si="36"/>
        <v>315.72300784582626</v>
      </c>
      <c r="X11" s="5">
        <f t="shared" si="36"/>
        <v>325.19469808120107</v>
      </c>
      <c r="Y11" s="5">
        <f t="shared" si="36"/>
        <v>334.95053902363713</v>
      </c>
    </row>
    <row r="12" spans="1:25" x14ac:dyDescent="0.25">
      <c r="A12" t="s">
        <v>28</v>
      </c>
      <c r="B12" s="5">
        <v>5.1040000000000001</v>
      </c>
      <c r="C12" s="5">
        <v>6.8289999999999997</v>
      </c>
      <c r="D12" s="5">
        <v>6.8440000000000003</v>
      </c>
      <c r="E12" s="5">
        <f t="shared" si="34"/>
        <v>8.0299999999999976</v>
      </c>
      <c r="F12" s="5">
        <v>6.0570000000000004</v>
      </c>
      <c r="G12" s="5">
        <v>4.9530000000000003</v>
      </c>
      <c r="H12" s="5">
        <v>5.6120000000000001</v>
      </c>
      <c r="I12" s="5">
        <f>D12*1.025</f>
        <v>7.0150999999999994</v>
      </c>
      <c r="J12" s="5"/>
      <c r="K12" s="5"/>
      <c r="L12" s="5"/>
      <c r="M12" s="5"/>
      <c r="O12" s="5">
        <v>16.582000000000001</v>
      </c>
      <c r="P12" s="5">
        <v>27.620999999999999</v>
      </c>
      <c r="Q12" s="5">
        <v>26.806999999999999</v>
      </c>
      <c r="R12" s="5">
        <f t="shared" si="35"/>
        <v>23.6371</v>
      </c>
      <c r="S12" s="5">
        <f>R12*1.035</f>
        <v>24.464398499999998</v>
      </c>
      <c r="T12" s="5">
        <f t="shared" ref="T12:Y12" si="37">S12*1.035</f>
        <v>25.320652447499995</v>
      </c>
      <c r="U12" s="5">
        <f t="shared" si="37"/>
        <v>26.206875283162493</v>
      </c>
      <c r="V12" s="5">
        <f t="shared" si="37"/>
        <v>27.124115918073176</v>
      </c>
      <c r="W12" s="5">
        <f t="shared" si="37"/>
        <v>28.073459975205736</v>
      </c>
      <c r="X12" s="5">
        <f t="shared" si="37"/>
        <v>29.056031074337934</v>
      </c>
      <c r="Y12" s="5">
        <f t="shared" si="37"/>
        <v>30.072992161939759</v>
      </c>
    </row>
    <row r="13" spans="1:25" x14ac:dyDescent="0.25">
      <c r="A13" t="s">
        <v>29</v>
      </c>
      <c r="B13" s="5">
        <v>8.5120000000000005</v>
      </c>
      <c r="C13" s="5">
        <v>8.5210000000000008</v>
      </c>
      <c r="D13" s="5">
        <v>8.532</v>
      </c>
      <c r="E13" s="5">
        <f t="shared" si="34"/>
        <v>17.594999999999995</v>
      </c>
      <c r="F13" s="5">
        <v>26.39</v>
      </c>
      <c r="G13" s="5">
        <v>32.866999999999997</v>
      </c>
      <c r="H13" s="5">
        <v>33.063000000000002</v>
      </c>
      <c r="I13" s="5">
        <f>E13*1.01</f>
        <v>17.770949999999996</v>
      </c>
      <c r="J13" s="5"/>
      <c r="K13" s="5"/>
      <c r="L13" s="5"/>
      <c r="M13" s="5"/>
      <c r="O13" s="5">
        <v>40.097000000000001</v>
      </c>
      <c r="P13" s="5">
        <v>33.043999999999997</v>
      </c>
      <c r="Q13" s="5">
        <v>43.16</v>
      </c>
      <c r="R13" s="5">
        <f t="shared" si="35"/>
        <v>110.09094999999999</v>
      </c>
      <c r="S13" s="5">
        <v>42</v>
      </c>
      <c r="T13" s="5">
        <v>42</v>
      </c>
      <c r="U13" s="5">
        <v>42</v>
      </c>
      <c r="V13" s="5">
        <v>42</v>
      </c>
      <c r="W13" s="5">
        <v>42</v>
      </c>
      <c r="X13" s="5">
        <v>42</v>
      </c>
      <c r="Y13" s="5">
        <v>42</v>
      </c>
    </row>
    <row r="14" spans="1:25" x14ac:dyDescent="0.25">
      <c r="A14" t="s">
        <v>30</v>
      </c>
      <c r="B14" s="5">
        <v>174.32300000000001</v>
      </c>
      <c r="C14" s="5">
        <v>176.392</v>
      </c>
      <c r="D14" s="5">
        <v>173.82499999999999</v>
      </c>
      <c r="E14" s="5">
        <f t="shared" si="34"/>
        <v>183.03600000000006</v>
      </c>
      <c r="F14" s="5">
        <v>182.41499999999999</v>
      </c>
      <c r="G14" s="5">
        <v>181.82</v>
      </c>
      <c r="H14" s="5">
        <v>180.67400000000001</v>
      </c>
      <c r="I14" s="5">
        <f>E14*1.01</f>
        <v>184.86636000000007</v>
      </c>
      <c r="J14" s="5"/>
      <c r="K14" s="5"/>
      <c r="L14" s="5"/>
      <c r="M14" s="5"/>
      <c r="O14" s="5">
        <v>721.97</v>
      </c>
      <c r="P14" s="5">
        <v>700.16099999999994</v>
      </c>
      <c r="Q14" s="5">
        <v>707.57600000000002</v>
      </c>
      <c r="R14" s="5">
        <f t="shared" si="35"/>
        <v>729.77536000000009</v>
      </c>
      <c r="S14" s="5">
        <f>R14*1.025</f>
        <v>748.01974400000006</v>
      </c>
      <c r="T14" s="5">
        <f t="shared" ref="T14:Y14" si="38">S14*1.025</f>
        <v>766.72023760000002</v>
      </c>
      <c r="U14" s="5">
        <f t="shared" si="38"/>
        <v>785.88824353999996</v>
      </c>
      <c r="V14" s="5">
        <f t="shared" si="38"/>
        <v>805.53544962849992</v>
      </c>
      <c r="W14" s="5">
        <f t="shared" si="38"/>
        <v>825.67383586921233</v>
      </c>
      <c r="X14" s="5">
        <f t="shared" si="38"/>
        <v>846.3156817659426</v>
      </c>
      <c r="Y14" s="5">
        <f t="shared" si="38"/>
        <v>867.47357381009112</v>
      </c>
    </row>
    <row r="15" spans="1:25" x14ac:dyDescent="0.25">
      <c r="A15" t="s">
        <v>31</v>
      </c>
      <c r="B15" s="5">
        <f t="shared" ref="B15:G15" si="39">SUM(B11:B14)</f>
        <v>250.15300000000002</v>
      </c>
      <c r="C15" s="5">
        <f t="shared" si="39"/>
        <v>255.01599999999999</v>
      </c>
      <c r="D15" s="5">
        <f t="shared" si="39"/>
        <v>255.04399999999998</v>
      </c>
      <c r="E15" s="5">
        <f t="shared" si="39"/>
        <v>279.18300000000005</v>
      </c>
      <c r="F15" s="5">
        <f t="shared" si="39"/>
        <v>287.07100000000003</v>
      </c>
      <c r="G15" s="5">
        <f t="shared" si="39"/>
        <v>283.02300000000002</v>
      </c>
      <c r="H15" s="5">
        <f>SUM(H11:H14)</f>
        <v>284.17</v>
      </c>
      <c r="I15" s="5">
        <f t="shared" ref="I15:Q15" si="40">SUM(I11:I14)</f>
        <v>281.58485000000007</v>
      </c>
      <c r="J15" s="5">
        <f t="shared" si="40"/>
        <v>0</v>
      </c>
      <c r="K15" s="5">
        <f t="shared" si="40"/>
        <v>0</v>
      </c>
      <c r="L15" s="5">
        <f t="shared" si="40"/>
        <v>0</v>
      </c>
      <c r="M15" s="5">
        <f t="shared" si="40"/>
        <v>0</v>
      </c>
      <c r="N15" s="5"/>
      <c r="O15" s="5">
        <f t="shared" si="40"/>
        <v>972.91600000000005</v>
      </c>
      <c r="P15" s="5">
        <f t="shared" si="40"/>
        <v>980.85500000000002</v>
      </c>
      <c r="Q15" s="5">
        <f t="shared" si="40"/>
        <v>1039.3960000000002</v>
      </c>
      <c r="R15" s="5">
        <f t="shared" ref="R15" si="41">SUM(R11:R14)</f>
        <v>1135.8488500000001</v>
      </c>
      <c r="S15" s="5">
        <f t="shared" ref="S15" si="42">SUM(S11:S14)</f>
        <v>1094.9999457000001</v>
      </c>
      <c r="T15" s="5">
        <f t="shared" ref="T15" si="43">SUM(T11:T14)</f>
        <v>1122.9721673435001</v>
      </c>
      <c r="U15" s="5">
        <f t="shared" ref="U15" si="44">SUM(U11:U14)</f>
        <v>1151.6943344380425</v>
      </c>
      <c r="V15" s="5">
        <f t="shared" ref="V15" si="45">SUM(V11:V14)</f>
        <v>1181.1867576298996</v>
      </c>
      <c r="W15" s="5">
        <f t="shared" ref="W15" si="46">SUM(W11:W14)</f>
        <v>1211.4703036902442</v>
      </c>
      <c r="X15" s="5">
        <f t="shared" ref="X15" si="47">SUM(X11:X14)</f>
        <v>1242.5664109214815</v>
      </c>
      <c r="Y15" s="5">
        <f t="shared" ref="Y15" si="48">SUM(Y11:Y14)</f>
        <v>1274.497104995668</v>
      </c>
    </row>
    <row r="16" spans="1:25" x14ac:dyDescent="0.25">
      <c r="A16" s="3" t="s">
        <v>32</v>
      </c>
      <c r="B16" s="7">
        <f t="shared" ref="B16:G16" si="49">B10-B15</f>
        <v>216.68900000000002</v>
      </c>
      <c r="C16" s="7">
        <f t="shared" si="49"/>
        <v>230.97799999999998</v>
      </c>
      <c r="D16" s="7">
        <f t="shared" si="49"/>
        <v>242.98699999999997</v>
      </c>
      <c r="E16" s="7">
        <f t="shared" si="49"/>
        <v>234.75399999999973</v>
      </c>
      <c r="F16" s="7">
        <f t="shared" si="49"/>
        <v>224.14099999999996</v>
      </c>
      <c r="G16" s="7">
        <f t="shared" si="49"/>
        <v>241.22699999999998</v>
      </c>
      <c r="H16" s="7">
        <f>H10-H15</f>
        <v>248.60399999999998</v>
      </c>
      <c r="I16" s="7">
        <f t="shared" ref="I16:Q16" si="50">I10-I15</f>
        <v>258.69767499999978</v>
      </c>
      <c r="J16" s="7">
        <f t="shared" si="50"/>
        <v>0</v>
      </c>
      <c r="K16" s="7">
        <f t="shared" si="50"/>
        <v>0</v>
      </c>
      <c r="L16" s="7">
        <f t="shared" si="50"/>
        <v>0</v>
      </c>
      <c r="M16" s="7">
        <f t="shared" si="50"/>
        <v>0</v>
      </c>
      <c r="N16" s="7"/>
      <c r="O16" s="7">
        <f t="shared" si="50"/>
        <v>633.69399999999985</v>
      </c>
      <c r="P16" s="7">
        <f t="shared" si="50"/>
        <v>782.49499999999989</v>
      </c>
      <c r="Q16" s="7">
        <f t="shared" si="50"/>
        <v>925.40799999999967</v>
      </c>
      <c r="R16" s="7">
        <f t="shared" ref="R16" si="51">R10-R15</f>
        <v>972.66967500000032</v>
      </c>
      <c r="S16" s="7">
        <f t="shared" ref="S16" si="52">S10-S15</f>
        <v>1131.6052353500002</v>
      </c>
      <c r="T16" s="7">
        <f t="shared" ref="T16" si="53">T10-T15</f>
        <v>1284.3543847747505</v>
      </c>
      <c r="U16" s="7">
        <f t="shared" ref="U16" si="54">U10-U15</f>
        <v>1392.5365224876323</v>
      </c>
      <c r="V16" s="7">
        <f t="shared" ref="V16" si="55">V10-V15</f>
        <v>1507.0105604687224</v>
      </c>
      <c r="W16" s="7">
        <f t="shared" ref="W16" si="56">W10-W15</f>
        <v>1628.1110807342689</v>
      </c>
      <c r="X16" s="7">
        <f t="shared" ref="X16" si="57">X10-X15</f>
        <v>1756.1898757958131</v>
      </c>
      <c r="Y16" s="7">
        <f t="shared" ref="Y16" si="58">Y10-Y15</f>
        <v>1891.6168213747478</v>
      </c>
    </row>
    <row r="17" spans="1:25" x14ac:dyDescent="0.25">
      <c r="A17" t="s">
        <v>33</v>
      </c>
      <c r="B17" s="5">
        <f>2.502-82.252</f>
        <v>-79.75</v>
      </c>
      <c r="C17" s="5">
        <f>1.517-84.315</f>
        <v>-82.798000000000002</v>
      </c>
      <c r="D17" s="5">
        <f>2.858-86.961</f>
        <v>-84.102999999999994</v>
      </c>
      <c r="E17" s="5">
        <f t="shared" ref="E17:E19" si="59">Q17-SUM(B17:D17)</f>
        <v>-97</v>
      </c>
      <c r="F17" s="5">
        <f>2.816-101.226</f>
        <v>-98.41</v>
      </c>
      <c r="G17" s="5">
        <f>4.683-101.288</f>
        <v>-96.60499999999999</v>
      </c>
      <c r="H17" s="5">
        <f>5.266-99.322</f>
        <v>-94.055999999999997</v>
      </c>
      <c r="I17" s="5">
        <f>E17*0.965</f>
        <v>-93.605000000000004</v>
      </c>
      <c r="J17" s="5"/>
      <c r="K17" s="5"/>
      <c r="L17" s="5"/>
      <c r="M17" s="5"/>
      <c r="O17" s="5">
        <f>2.981-367.874</f>
        <v>-364.89300000000003</v>
      </c>
      <c r="P17" s="5">
        <f>3.448-352.919</f>
        <v>-349.471</v>
      </c>
      <c r="Q17" s="5">
        <f>10.133-353.784</f>
        <v>-343.65100000000001</v>
      </c>
      <c r="R17" s="5">
        <f t="shared" ref="R17:R19" si="60">SUM(F17:I17)</f>
        <v>-382.67599999999999</v>
      </c>
      <c r="S17" s="5">
        <f>R17*0.965</f>
        <v>-369.28233999999998</v>
      </c>
      <c r="T17" s="5">
        <f>S17*0.98</f>
        <v>-361.89669319999996</v>
      </c>
      <c r="U17" s="5">
        <f t="shared" ref="U17:Y17" si="61">T17*0.98</f>
        <v>-354.65875933599995</v>
      </c>
      <c r="V17" s="5">
        <f t="shared" si="61"/>
        <v>-347.56558414927991</v>
      </c>
      <c r="W17" s="5">
        <f t="shared" si="61"/>
        <v>-340.61427246629432</v>
      </c>
      <c r="X17" s="5">
        <f t="shared" si="61"/>
        <v>-333.80198701696844</v>
      </c>
      <c r="Y17" s="5">
        <f t="shared" si="61"/>
        <v>-327.12594727662906</v>
      </c>
    </row>
    <row r="18" spans="1:25" x14ac:dyDescent="0.25">
      <c r="A18" t="s">
        <v>34</v>
      </c>
      <c r="B18" s="5">
        <f>-11.526-4.881</f>
        <v>-16.407</v>
      </c>
      <c r="C18" s="5">
        <f>-11.529-4.922</f>
        <v>-16.451000000000001</v>
      </c>
      <c r="D18" s="5">
        <f>-11.528-4.955</f>
        <v>-16.483000000000001</v>
      </c>
      <c r="E18" s="5">
        <f t="shared" si="59"/>
        <v>-16.602999999999994</v>
      </c>
      <c r="F18" s="5">
        <f>-14.239-4.988</f>
        <v>-19.227</v>
      </c>
      <c r="G18" s="5">
        <f>-7.518-5.044</f>
        <v>-12.561999999999999</v>
      </c>
      <c r="H18" s="5">
        <f>-7.898-5.097</f>
        <v>-12.995000000000001</v>
      </c>
      <c r="I18" s="5">
        <f>E18*1.015</f>
        <v>-16.852044999999993</v>
      </c>
      <c r="J18" s="5"/>
      <c r="K18" s="5"/>
      <c r="L18" s="5"/>
      <c r="M18" s="5"/>
      <c r="O18" s="5">
        <f>-24.87-20.058</f>
        <v>-44.927999999999997</v>
      </c>
      <c r="P18" s="5">
        <f>-47.085-19.589</f>
        <v>-66.674000000000007</v>
      </c>
      <c r="Q18" s="5">
        <f>-46.109-19.835</f>
        <v>-65.944000000000003</v>
      </c>
      <c r="R18" s="5">
        <f t="shared" si="60"/>
        <v>-61.636044999999996</v>
      </c>
      <c r="S18" s="5">
        <f>R18*1.025</f>
        <v>-63.176946124999994</v>
      </c>
      <c r="T18" s="5">
        <f t="shared" ref="T18:Y18" si="62">S18*1.025</f>
        <v>-64.756369778124991</v>
      </c>
      <c r="U18" s="5">
        <f t="shared" si="62"/>
        <v>-66.375279022578113</v>
      </c>
      <c r="V18" s="5">
        <f t="shared" si="62"/>
        <v>-68.034660998142556</v>
      </c>
      <c r="W18" s="5">
        <f t="shared" si="62"/>
        <v>-69.73552752309611</v>
      </c>
      <c r="X18" s="5">
        <f t="shared" si="62"/>
        <v>-71.478915711173499</v>
      </c>
      <c r="Y18" s="5">
        <f t="shared" si="62"/>
        <v>-73.265888603952831</v>
      </c>
    </row>
    <row r="19" spans="1:25" x14ac:dyDescent="0.25">
      <c r="A19" t="s">
        <v>35</v>
      </c>
      <c r="B19" s="5">
        <v>108.161</v>
      </c>
      <c r="C19" s="5">
        <v>-66.141000000000005</v>
      </c>
      <c r="D19" s="5">
        <v>-39.756</v>
      </c>
      <c r="E19" s="5">
        <f t="shared" si="59"/>
        <v>7.7660000000000053</v>
      </c>
      <c r="F19" s="5">
        <v>37.558</v>
      </c>
      <c r="G19" s="5">
        <v>40.731999999999999</v>
      </c>
      <c r="H19" s="5">
        <v>-48.33</v>
      </c>
      <c r="I19" s="5"/>
      <c r="J19" s="5"/>
      <c r="K19" s="5"/>
      <c r="L19" s="5"/>
      <c r="M19" s="5"/>
      <c r="O19" s="5">
        <f>-19.463-222.159</f>
        <v>-241.62199999999999</v>
      </c>
      <c r="P19" s="5">
        <f>-39.502-74.284</f>
        <v>-113.786</v>
      </c>
      <c r="Q19" s="5">
        <f>10.467-0.437</f>
        <v>10.030000000000001</v>
      </c>
      <c r="R19" s="5">
        <f t="shared" si="60"/>
        <v>29.959999999999994</v>
      </c>
      <c r="S19" s="5"/>
      <c r="T19" s="5"/>
      <c r="U19" s="5"/>
      <c r="V19" s="5"/>
      <c r="W19" s="5"/>
      <c r="X19" s="5"/>
      <c r="Y19" s="5"/>
    </row>
    <row r="20" spans="1:25" x14ac:dyDescent="0.25">
      <c r="A20" s="3" t="s">
        <v>36</v>
      </c>
      <c r="B20" s="7">
        <f t="shared" ref="B20:G20" si="63">B16+SUM(B17:B19)</f>
        <v>228.69300000000004</v>
      </c>
      <c r="C20" s="7">
        <f t="shared" si="63"/>
        <v>65.587999999999994</v>
      </c>
      <c r="D20" s="7">
        <f t="shared" si="63"/>
        <v>102.64499999999998</v>
      </c>
      <c r="E20" s="7">
        <f t="shared" si="63"/>
        <v>128.91699999999975</v>
      </c>
      <c r="F20" s="7">
        <f t="shared" si="63"/>
        <v>144.06199999999995</v>
      </c>
      <c r="G20" s="7">
        <f t="shared" si="63"/>
        <v>172.79199999999997</v>
      </c>
      <c r="H20" s="7">
        <f>H16+SUM(H17:H19)</f>
        <v>93.222999999999985</v>
      </c>
      <c r="I20" s="7">
        <f t="shared" ref="I20:Q20" si="64">I16+SUM(I17:I19)</f>
        <v>148.24062999999978</v>
      </c>
      <c r="J20" s="7">
        <f t="shared" si="64"/>
        <v>0</v>
      </c>
      <c r="K20" s="7">
        <f t="shared" si="64"/>
        <v>0</v>
      </c>
      <c r="L20" s="7">
        <f t="shared" si="64"/>
        <v>0</v>
      </c>
      <c r="M20" s="7">
        <f t="shared" si="64"/>
        <v>0</v>
      </c>
      <c r="N20" s="7"/>
      <c r="O20" s="7">
        <f t="shared" si="64"/>
        <v>-17.749000000000137</v>
      </c>
      <c r="P20" s="7">
        <f t="shared" si="64"/>
        <v>252.56399999999985</v>
      </c>
      <c r="Q20" s="7">
        <f t="shared" si="64"/>
        <v>525.84299999999962</v>
      </c>
      <c r="R20" s="7">
        <f t="shared" ref="R20" si="65">R16+SUM(R17:R19)</f>
        <v>558.31763000000024</v>
      </c>
      <c r="S20" s="7">
        <f t="shared" ref="S20" si="66">S16+SUM(S17:S19)</f>
        <v>699.14594922500021</v>
      </c>
      <c r="T20" s="7">
        <f t="shared" ref="T20" si="67">T16+SUM(T17:T19)</f>
        <v>857.70132179662562</v>
      </c>
      <c r="U20" s="7">
        <f t="shared" ref="U20" si="68">U16+SUM(U17:U19)</f>
        <v>971.50248412905421</v>
      </c>
      <c r="V20" s="7">
        <f t="shared" ref="V20" si="69">V16+SUM(V17:V19)</f>
        <v>1091.4103153213</v>
      </c>
      <c r="W20" s="7">
        <f t="shared" ref="W20" si="70">W16+SUM(W17:W19)</f>
        <v>1217.7612807448784</v>
      </c>
      <c r="X20" s="7">
        <f t="shared" ref="X20" si="71">X16+SUM(X17:X19)</f>
        <v>1350.9089730676712</v>
      </c>
      <c r="Y20" s="7">
        <f t="shared" ref="Y20" si="72">Y16+SUM(Y17:Y19)</f>
        <v>1491.224985494166</v>
      </c>
    </row>
    <row r="21" spans="1:25" x14ac:dyDescent="0.25">
      <c r="A21" t="s">
        <v>37</v>
      </c>
      <c r="B21" s="5">
        <v>-40.476999999999997</v>
      </c>
      <c r="C21" s="5">
        <v>3.5630000000000002</v>
      </c>
      <c r="D21" s="5">
        <v>-2.883</v>
      </c>
      <c r="E21" s="5">
        <f>Q21-SUM(B21:D21)</f>
        <v>-26.247</v>
      </c>
      <c r="F21" s="5">
        <v>-43.508000000000003</v>
      </c>
      <c r="G21" s="5">
        <v>29.178000000000001</v>
      </c>
      <c r="H21" s="5">
        <v>-7.8609999999999998</v>
      </c>
      <c r="I21" s="5">
        <f>-I20*0.22</f>
        <v>-32.61293859999995</v>
      </c>
      <c r="J21" s="5"/>
      <c r="K21" s="5"/>
      <c r="L21" s="5"/>
      <c r="M21" s="5"/>
      <c r="O21" s="5">
        <v>41.795999999999999</v>
      </c>
      <c r="P21" s="5">
        <v>-14.94</v>
      </c>
      <c r="Q21" s="5">
        <v>-66.043999999999997</v>
      </c>
      <c r="R21" s="5">
        <f>SUM(F21:I21)</f>
        <v>-54.803938599999952</v>
      </c>
      <c r="S21" s="5">
        <f>-S20*0.1</f>
        <v>-69.914594922500029</v>
      </c>
      <c r="T21" s="5">
        <f t="shared" ref="T21:Y21" si="73">-T20*0.1</f>
        <v>-85.770132179662568</v>
      </c>
      <c r="U21" s="5">
        <f t="shared" si="73"/>
        <v>-97.150248412905427</v>
      </c>
      <c r="V21" s="5">
        <f t="shared" si="73"/>
        <v>-109.14103153213</v>
      </c>
      <c r="W21" s="5">
        <f t="shared" si="73"/>
        <v>-121.77612807448784</v>
      </c>
      <c r="X21" s="5">
        <f t="shared" si="73"/>
        <v>-135.09089730676712</v>
      </c>
      <c r="Y21" s="5">
        <f t="shared" si="73"/>
        <v>-149.1224985494166</v>
      </c>
    </row>
    <row r="22" spans="1:25" x14ac:dyDescent="0.25">
      <c r="A22" t="s">
        <v>38</v>
      </c>
      <c r="B22" s="5">
        <f t="shared" ref="B22:G22" si="74">B20+B21</f>
        <v>188.21600000000004</v>
      </c>
      <c r="C22" s="5">
        <f t="shared" si="74"/>
        <v>69.150999999999996</v>
      </c>
      <c r="D22" s="5">
        <f t="shared" si="74"/>
        <v>99.761999999999986</v>
      </c>
      <c r="E22" s="5">
        <f t="shared" si="74"/>
        <v>102.66999999999975</v>
      </c>
      <c r="F22" s="5">
        <f t="shared" si="74"/>
        <v>100.55399999999995</v>
      </c>
      <c r="G22" s="5">
        <f t="shared" si="74"/>
        <v>201.96999999999997</v>
      </c>
      <c r="H22" s="5">
        <f>H20+H21</f>
        <v>85.361999999999981</v>
      </c>
      <c r="I22" s="5">
        <f t="shared" ref="I22:Q22" si="75">I20+I21</f>
        <v>115.62769139999983</v>
      </c>
      <c r="J22" s="5">
        <f t="shared" si="75"/>
        <v>0</v>
      </c>
      <c r="K22" s="5">
        <f t="shared" si="75"/>
        <v>0</v>
      </c>
      <c r="L22" s="5">
        <f t="shared" si="75"/>
        <v>0</v>
      </c>
      <c r="M22" s="5">
        <f t="shared" si="75"/>
        <v>0</v>
      </c>
      <c r="N22" s="5"/>
      <c r="O22" s="5">
        <f t="shared" si="75"/>
        <v>24.046999999999862</v>
      </c>
      <c r="P22" s="5">
        <f t="shared" si="75"/>
        <v>237.62399999999985</v>
      </c>
      <c r="Q22" s="5">
        <f t="shared" si="75"/>
        <v>459.79899999999964</v>
      </c>
      <c r="R22" s="5">
        <f t="shared" ref="R22" si="76">R20+R21</f>
        <v>503.51369140000031</v>
      </c>
      <c r="S22" s="5">
        <f t="shared" ref="S22" si="77">S20+S21</f>
        <v>629.23135430250022</v>
      </c>
      <c r="T22" s="5">
        <f t="shared" ref="T22" si="78">T20+T21</f>
        <v>771.93118961696302</v>
      </c>
      <c r="U22" s="5">
        <f t="shared" ref="U22" si="79">U20+U21</f>
        <v>874.35223571614881</v>
      </c>
      <c r="V22" s="5">
        <f t="shared" ref="V22" si="80">V20+V21</f>
        <v>982.26928378917</v>
      </c>
      <c r="W22" s="5">
        <f t="shared" ref="W22" si="81">W20+W21</f>
        <v>1095.9851526703906</v>
      </c>
      <c r="X22" s="5">
        <f t="shared" ref="X22" si="82">X20+X21</f>
        <v>1215.8180757609041</v>
      </c>
      <c r="Y22" s="5">
        <f t="shared" ref="Y22" si="83">Y20+Y21</f>
        <v>1342.1024869447494</v>
      </c>
    </row>
    <row r="23" spans="1:25" x14ac:dyDescent="0.25">
      <c r="A23" t="s">
        <v>41</v>
      </c>
      <c r="B23" s="5">
        <v>0.317</v>
      </c>
      <c r="C23" s="5">
        <v>0.36499999999999999</v>
      </c>
      <c r="D23" s="5">
        <v>0.247</v>
      </c>
      <c r="E23" s="5">
        <f>Q23-SUM(B23:D23)</f>
        <v>0.70099999999999996</v>
      </c>
      <c r="F23" s="5">
        <v>0.66300000000000003</v>
      </c>
      <c r="G23" s="5">
        <v>1.6779999999999999</v>
      </c>
      <c r="H23" s="5">
        <v>2.0569999999999999</v>
      </c>
      <c r="I23" s="5"/>
      <c r="J23" s="5"/>
      <c r="K23" s="5"/>
      <c r="L23" s="5"/>
      <c r="M23" s="5"/>
      <c r="O23">
        <v>0</v>
      </c>
      <c r="P23">
        <v>0</v>
      </c>
      <c r="Q23">
        <v>1.63</v>
      </c>
    </row>
    <row r="24" spans="1:25" x14ac:dyDescent="0.25">
      <c r="A24" s="3" t="s">
        <v>42</v>
      </c>
      <c r="B24" s="7">
        <f t="shared" ref="B24:G24" si="84">B22+B23</f>
        <v>188.53300000000004</v>
      </c>
      <c r="C24" s="7">
        <f t="shared" si="84"/>
        <v>69.515999999999991</v>
      </c>
      <c r="D24" s="7">
        <f t="shared" si="84"/>
        <v>100.00899999999999</v>
      </c>
      <c r="E24" s="7">
        <f t="shared" si="84"/>
        <v>103.37099999999974</v>
      </c>
      <c r="F24" s="7">
        <f t="shared" si="84"/>
        <v>101.21699999999994</v>
      </c>
      <c r="G24" s="7">
        <f t="shared" si="84"/>
        <v>203.64799999999997</v>
      </c>
      <c r="H24" s="7">
        <f>H22+H23</f>
        <v>87.418999999999983</v>
      </c>
      <c r="I24" s="7">
        <f t="shared" ref="I24:Q24" si="85">I22+I23</f>
        <v>115.62769139999983</v>
      </c>
      <c r="J24" s="7">
        <f t="shared" si="85"/>
        <v>0</v>
      </c>
      <c r="K24" s="7">
        <f t="shared" si="85"/>
        <v>0</v>
      </c>
      <c r="L24" s="7">
        <f t="shared" si="85"/>
        <v>0</v>
      </c>
      <c r="M24" s="7">
        <f t="shared" si="85"/>
        <v>0</v>
      </c>
      <c r="N24" s="7"/>
      <c r="O24" s="7">
        <f t="shared" si="85"/>
        <v>24.046999999999862</v>
      </c>
      <c r="P24" s="7">
        <f t="shared" si="85"/>
        <v>237.62399999999985</v>
      </c>
      <c r="Q24" s="7">
        <f t="shared" si="85"/>
        <v>461.42899999999963</v>
      </c>
      <c r="R24" s="7">
        <f t="shared" ref="R24" si="86">R22+R23</f>
        <v>503.51369140000031</v>
      </c>
      <c r="S24" s="7">
        <f t="shared" ref="S24" si="87">S22+S23</f>
        <v>629.23135430250022</v>
      </c>
      <c r="T24" s="7">
        <f t="shared" ref="T24" si="88">T22+T23</f>
        <v>771.93118961696302</v>
      </c>
      <c r="U24" s="7">
        <f t="shared" ref="U24" si="89">U22+U23</f>
        <v>874.35223571614881</v>
      </c>
      <c r="V24" s="7">
        <f t="shared" ref="V24" si="90">V22+V23</f>
        <v>982.26928378917</v>
      </c>
      <c r="W24" s="7">
        <f t="shared" ref="W24" si="91">W22+W23</f>
        <v>1095.9851526703906</v>
      </c>
      <c r="X24" s="7">
        <f t="shared" ref="X24" si="92">X22+X23</f>
        <v>1215.8180757609041</v>
      </c>
      <c r="Y24" s="7">
        <f t="shared" ref="Y24" si="93">Y22+Y23</f>
        <v>1342.1024869447494</v>
      </c>
    </row>
    <row r="25" spans="1:25" x14ac:dyDescent="0.25">
      <c r="A25" t="s">
        <v>39</v>
      </c>
      <c r="B25" s="5">
        <v>108.086</v>
      </c>
      <c r="C25" s="5">
        <v>107.85</v>
      </c>
      <c r="D25" s="5">
        <v>107.916</v>
      </c>
      <c r="E25" s="5">
        <v>107.95699999999999</v>
      </c>
      <c r="F25" s="5">
        <v>108.13200000000001</v>
      </c>
      <c r="G25" s="5">
        <v>108.355</v>
      </c>
      <c r="H25" s="5">
        <v>108.373</v>
      </c>
      <c r="I25" s="5">
        <v>107.99</v>
      </c>
      <c r="J25" s="5"/>
      <c r="K25" s="5"/>
      <c r="L25" s="5"/>
      <c r="M25" s="5"/>
      <c r="O25">
        <v>111.532</v>
      </c>
      <c r="P25">
        <v>109.328</v>
      </c>
      <c r="Q25">
        <v>107.95699999999999</v>
      </c>
      <c r="R25">
        <f>Q25*0.98</f>
        <v>105.79785999999999</v>
      </c>
      <c r="S25">
        <f t="shared" ref="S25:Y25" si="94">R25*0.98</f>
        <v>103.68190279999999</v>
      </c>
      <c r="T25">
        <f t="shared" si="94"/>
        <v>101.60826474399998</v>
      </c>
      <c r="U25">
        <f t="shared" si="94"/>
        <v>99.57609944911998</v>
      </c>
      <c r="V25">
        <f t="shared" si="94"/>
        <v>97.584577460137581</v>
      </c>
      <c r="W25">
        <f t="shared" si="94"/>
        <v>95.632885910934831</v>
      </c>
      <c r="X25">
        <f t="shared" si="94"/>
        <v>93.720228192716135</v>
      </c>
      <c r="Y25">
        <f t="shared" si="94"/>
        <v>91.845823628861808</v>
      </c>
    </row>
    <row r="26" spans="1:25" x14ac:dyDescent="0.25">
      <c r="A26" t="s">
        <v>40</v>
      </c>
      <c r="B26" s="4">
        <f t="shared" ref="B26:G26" si="95">B24/B25</f>
        <v>1.744286956682642</v>
      </c>
      <c r="C26" s="4">
        <f t="shared" si="95"/>
        <v>0.64456189151599441</v>
      </c>
      <c r="D26" s="4">
        <f t="shared" si="95"/>
        <v>0.92673004929760172</v>
      </c>
      <c r="E26" s="4">
        <f t="shared" si="95"/>
        <v>0.95752012375297335</v>
      </c>
      <c r="F26" s="4">
        <f t="shared" si="95"/>
        <v>0.93605038286538622</v>
      </c>
      <c r="G26" s="4">
        <f t="shared" si="95"/>
        <v>1.8794518019473025</v>
      </c>
      <c r="H26" s="4">
        <f>H24/H25</f>
        <v>0.80664925765642714</v>
      </c>
      <c r="I26" s="4">
        <f t="shared" ref="I26:Q26" si="96">I24/I25</f>
        <v>1.0707259135105087</v>
      </c>
      <c r="J26" s="4" t="e">
        <f t="shared" si="96"/>
        <v>#DIV/0!</v>
      </c>
      <c r="K26" s="4" t="e">
        <f t="shared" si="96"/>
        <v>#DIV/0!</v>
      </c>
      <c r="L26" s="4" t="e">
        <f t="shared" si="96"/>
        <v>#DIV/0!</v>
      </c>
      <c r="M26" s="4" t="e">
        <f t="shared" si="96"/>
        <v>#DIV/0!</v>
      </c>
      <c r="N26" s="4"/>
      <c r="O26" s="4">
        <f t="shared" si="96"/>
        <v>0.21560628339848531</v>
      </c>
      <c r="P26" s="4">
        <f t="shared" si="96"/>
        <v>2.1734962681106382</v>
      </c>
      <c r="Q26" s="4">
        <f t="shared" si="96"/>
        <v>4.2741925025704646</v>
      </c>
      <c r="R26" s="4">
        <f t="shared" ref="R26" si="97">R24/R25</f>
        <v>4.7592048780570835</v>
      </c>
      <c r="S26" s="4">
        <f t="shared" ref="S26" si="98">S24/S25</f>
        <v>6.0688638741157463</v>
      </c>
      <c r="T26" s="4">
        <f t="shared" ref="T26" si="99">T24/T25</f>
        <v>7.5971299338870555</v>
      </c>
      <c r="U26" s="4">
        <f t="shared" ref="U26" si="100">U24/U25</f>
        <v>8.7807439792609401</v>
      </c>
      <c r="V26" s="4">
        <f t="shared" ref="V26" si="101">V24/V25</f>
        <v>10.065825044848077</v>
      </c>
      <c r="W26" s="4">
        <f t="shared" ref="W26" si="102">W24/W25</f>
        <v>11.46033754216209</v>
      </c>
      <c r="X26" s="4">
        <f t="shared" ref="X26" si="103">X24/X25</f>
        <v>12.97284587550115</v>
      </c>
      <c r="Y26" s="4">
        <f t="shared" ref="Y26" si="104">Y24/Y25</f>
        <v>14.612558676244529</v>
      </c>
    </row>
    <row r="28" spans="1:25" x14ac:dyDescent="0.25">
      <c r="A28" t="s">
        <v>45</v>
      </c>
      <c r="B28">
        <v>292.48200000000003</v>
      </c>
      <c r="C28">
        <v>664.59699999999998</v>
      </c>
      <c r="D28">
        <v>997.06600000000003</v>
      </c>
      <c r="E28" s="5">
        <f t="shared" ref="E28:E29" si="105">Q28-SUM(B28:D28)</f>
        <v>-668.44499999999994</v>
      </c>
      <c r="F28">
        <v>311.16800000000001</v>
      </c>
      <c r="G28">
        <v>798.101</v>
      </c>
      <c r="H28">
        <v>1111.7819999999999</v>
      </c>
      <c r="O28">
        <v>1126.0329999999999</v>
      </c>
      <c r="P28">
        <v>1189.896</v>
      </c>
      <c r="Q28">
        <v>1285.7</v>
      </c>
    </row>
    <row r="29" spans="1:25" x14ac:dyDescent="0.25">
      <c r="A29" t="s">
        <v>46</v>
      </c>
      <c r="B29">
        <v>38.008000000000003</v>
      </c>
      <c r="C29">
        <v>90.971000000000004</v>
      </c>
      <c r="D29">
        <v>148.34800000000001</v>
      </c>
      <c r="E29" s="5">
        <f t="shared" si="105"/>
        <v>-62.883999999999986</v>
      </c>
      <c r="F29">
        <v>49.134999999999998</v>
      </c>
      <c r="G29">
        <v>112.583</v>
      </c>
      <c r="H29">
        <v>173.976</v>
      </c>
      <c r="O29">
        <v>128.566</v>
      </c>
      <c r="P29">
        <v>133.69399999999999</v>
      </c>
      <c r="Q29">
        <v>214.44300000000001</v>
      </c>
    </row>
    <row r="30" spans="1:25" x14ac:dyDescent="0.25">
      <c r="A30" t="s">
        <v>47</v>
      </c>
      <c r="B30">
        <f t="shared" ref="B30:G30" si="106">B28-B29</f>
        <v>254.47400000000002</v>
      </c>
      <c r="C30">
        <f t="shared" si="106"/>
        <v>573.62599999999998</v>
      </c>
      <c r="D30">
        <f t="shared" si="106"/>
        <v>848.71800000000007</v>
      </c>
      <c r="E30">
        <f t="shared" si="106"/>
        <v>-605.56099999999992</v>
      </c>
      <c r="F30">
        <f t="shared" si="106"/>
        <v>262.03300000000002</v>
      </c>
      <c r="G30">
        <f t="shared" si="106"/>
        <v>685.51800000000003</v>
      </c>
      <c r="H30">
        <f>H28-H29</f>
        <v>937.80599999999993</v>
      </c>
      <c r="I30">
        <f t="shared" ref="I30:Q30" si="107">I28-I29</f>
        <v>0</v>
      </c>
      <c r="J30">
        <f t="shared" si="107"/>
        <v>0</v>
      </c>
      <c r="K30">
        <f t="shared" si="107"/>
        <v>0</v>
      </c>
      <c r="L30">
        <f t="shared" si="107"/>
        <v>0</v>
      </c>
      <c r="M30">
        <f t="shared" si="107"/>
        <v>0</v>
      </c>
      <c r="O30">
        <f t="shared" si="107"/>
        <v>997.46699999999987</v>
      </c>
      <c r="P30">
        <f t="shared" si="107"/>
        <v>1056.202</v>
      </c>
      <c r="Q30">
        <f t="shared" si="107"/>
        <v>1071.2570000000001</v>
      </c>
      <c r="R30">
        <f t="shared" ref="R30" si="108">R28-R29</f>
        <v>0</v>
      </c>
      <c r="S30">
        <f t="shared" ref="S30" si="109">S28-S29</f>
        <v>0</v>
      </c>
      <c r="T30">
        <f t="shared" ref="T30" si="110">T28-T29</f>
        <v>0</v>
      </c>
      <c r="U30">
        <f t="shared" ref="U30" si="111">U28-U29</f>
        <v>0</v>
      </c>
      <c r="V30">
        <f t="shared" ref="V30" si="112">V28-V29</f>
        <v>0</v>
      </c>
      <c r="W30">
        <f t="shared" ref="W30" si="113">W28-W29</f>
        <v>0</v>
      </c>
      <c r="X30">
        <f t="shared" ref="X30" si="114">X28-X29</f>
        <v>0</v>
      </c>
      <c r="Y30">
        <f t="shared" ref="Y30" si="115">Y28-Y29</f>
        <v>0</v>
      </c>
    </row>
    <row r="32" spans="1:25" x14ac:dyDescent="0.25">
      <c r="A32" t="s">
        <v>48</v>
      </c>
      <c r="B32" s="6"/>
      <c r="C32" s="6"/>
      <c r="D32" s="6"/>
      <c r="E32" s="6"/>
      <c r="F32" s="6">
        <f t="shared" ref="F32:G32" si="116">F5/B5-1</f>
        <v>8.9946270390628857E-2</v>
      </c>
      <c r="G32" s="6">
        <f t="shared" si="116"/>
        <v>4.0634595387158967E-2</v>
      </c>
      <c r="H32" s="6">
        <f>H5/D5-1</f>
        <v>1.0302197802197766E-2</v>
      </c>
      <c r="P32" s="6">
        <f t="shared" ref="P32:Q32" si="117">P5/O5-1</f>
        <v>0.10834423835578821</v>
      </c>
      <c r="Q32" s="6">
        <f>Q5/P5-1</f>
        <v>0.14059910760149918</v>
      </c>
      <c r="R32" s="6">
        <f t="shared" ref="R32:Y32" si="118">R5/Q5-1</f>
        <v>4.4856633151746816E-2</v>
      </c>
      <c r="S32" s="6">
        <f t="shared" si="118"/>
        <v>4.6735748238028174E-2</v>
      </c>
      <c r="T32" s="6">
        <f t="shared" si="118"/>
        <v>6.6456597502489112E-2</v>
      </c>
      <c r="U32" s="6">
        <f t="shared" si="118"/>
        <v>4.8107967195886392E-2</v>
      </c>
      <c r="V32" s="6">
        <f t="shared" si="118"/>
        <v>4.8149681440353032E-2</v>
      </c>
      <c r="W32" s="6">
        <f t="shared" si="118"/>
        <v>4.8190548013111956E-2</v>
      </c>
      <c r="X32" s="6">
        <f t="shared" si="118"/>
        <v>4.8230580985417548E-2</v>
      </c>
      <c r="Y32" s="6">
        <f t="shared" si="118"/>
        <v>4.8269794334523164E-2</v>
      </c>
    </row>
    <row r="33" spans="1:25" x14ac:dyDescent="0.25">
      <c r="A33" t="s">
        <v>49</v>
      </c>
      <c r="B33" s="6">
        <f t="shared" ref="B33:H33" si="119">B10/B5</f>
        <v>0.75325039934169136</v>
      </c>
      <c r="C33" s="6">
        <f t="shared" si="119"/>
        <v>0.74538271120204413</v>
      </c>
      <c r="D33" s="6">
        <f t="shared" si="119"/>
        <v>0.73718590138309947</v>
      </c>
      <c r="E33" s="6">
        <f t="shared" si="119"/>
        <v>0.74907665713444505</v>
      </c>
      <c r="F33" s="6">
        <f t="shared" si="119"/>
        <v>0.7567726005009503</v>
      </c>
      <c r="G33" s="6">
        <f t="shared" si="119"/>
        <v>0.77266028002947684</v>
      </c>
      <c r="H33" s="6">
        <f>H10/H5</f>
        <v>0.78057092290020857</v>
      </c>
      <c r="O33" s="6">
        <f t="shared" ref="O33:Q33" si="120">O10/O5</f>
        <v>0.77124511194169565</v>
      </c>
      <c r="P33" s="6">
        <f t="shared" si="120"/>
        <v>0.76374048545716156</v>
      </c>
      <c r="Q33" s="6">
        <f t="shared" si="120"/>
        <v>0.74609391316499174</v>
      </c>
      <c r="R33" s="6">
        <f t="shared" ref="R33:Y33" si="121">R10/R5</f>
        <v>0.76629321494150859</v>
      </c>
      <c r="S33" s="6">
        <f t="shared" si="121"/>
        <v>0.77307871831115749</v>
      </c>
      <c r="T33" s="6">
        <f t="shared" si="121"/>
        <v>0.78374056092785183</v>
      </c>
      <c r="U33" s="6">
        <f t="shared" si="121"/>
        <v>0.79029240935357348</v>
      </c>
      <c r="V33" s="6">
        <f t="shared" si="121"/>
        <v>0.79665288256393352</v>
      </c>
      <c r="W33" s="6">
        <f t="shared" si="121"/>
        <v>0.80282718441671952</v>
      </c>
      <c r="X33" s="6">
        <f t="shared" si="121"/>
        <v>0.80882039745040724</v>
      </c>
      <c r="Y33" s="6">
        <f t="shared" si="121"/>
        <v>0.8146374846683816</v>
      </c>
    </row>
    <row r="34" spans="1:25" x14ac:dyDescent="0.25">
      <c r="A34" t="s">
        <v>50</v>
      </c>
      <c r="B34" s="6">
        <f t="shared" ref="B34:H34" si="122">B16/B5</f>
        <v>0.34962808783903709</v>
      </c>
      <c r="C34" s="6">
        <f t="shared" si="122"/>
        <v>0.35425747615819486</v>
      </c>
      <c r="D34" s="6">
        <f t="shared" si="122"/>
        <v>0.35966955996589611</v>
      </c>
      <c r="E34" s="6">
        <f t="shared" si="122"/>
        <v>0.34216011217121822</v>
      </c>
      <c r="F34" s="6">
        <f t="shared" si="122"/>
        <v>0.33180709265213548</v>
      </c>
      <c r="G34" s="6">
        <f t="shared" si="122"/>
        <v>0.35552984524686804</v>
      </c>
      <c r="H34" s="6">
        <f>H16/H5</f>
        <v>0.36423146346609148</v>
      </c>
      <c r="O34" s="6">
        <f t="shared" ref="O34:Q34" si="123">O16/O5</f>
        <v>0.30420164194594879</v>
      </c>
      <c r="P34" s="6">
        <f t="shared" si="123"/>
        <v>0.33891349486364108</v>
      </c>
      <c r="Q34" s="6">
        <f t="shared" si="123"/>
        <v>0.3514046571536848</v>
      </c>
      <c r="R34" s="6">
        <f t="shared" ref="R34:Y34" si="124">R16/R5</f>
        <v>0.3534947231881031</v>
      </c>
      <c r="S34" s="6">
        <f t="shared" si="124"/>
        <v>0.39289404894227137</v>
      </c>
      <c r="T34" s="6">
        <f t="shared" si="124"/>
        <v>0.41814045754107709</v>
      </c>
      <c r="U34" s="6">
        <f t="shared" si="124"/>
        <v>0.43255156680215795</v>
      </c>
      <c r="V34" s="6">
        <f t="shared" si="124"/>
        <v>0.44660572308764263</v>
      </c>
      <c r="W34" s="6">
        <f t="shared" si="124"/>
        <v>0.46031145366466003</v>
      </c>
      <c r="X34" s="6">
        <f t="shared" si="124"/>
        <v>0.47367710394848167</v>
      </c>
      <c r="Y34" s="6">
        <f t="shared" si="124"/>
        <v>0.48671084021530514</v>
      </c>
    </row>
    <row r="36" spans="1:25" x14ac:dyDescent="0.25">
      <c r="A36" t="s">
        <v>51</v>
      </c>
    </row>
    <row r="37" spans="1:25" x14ac:dyDescent="0.25">
      <c r="A37" t="s">
        <v>4</v>
      </c>
      <c r="H37">
        <f>190.545+37.221</f>
        <v>227.76599999999999</v>
      </c>
    </row>
    <row r="38" spans="1:25" x14ac:dyDescent="0.25">
      <c r="A38" t="s">
        <v>52</v>
      </c>
      <c r="H38">
        <v>158.333</v>
      </c>
    </row>
    <row r="39" spans="1:25" x14ac:dyDescent="0.25">
      <c r="A39" t="s">
        <v>53</v>
      </c>
      <c r="H39">
        <v>28.334</v>
      </c>
    </row>
    <row r="40" spans="1:25" x14ac:dyDescent="0.25">
      <c r="A40" t="s">
        <v>59</v>
      </c>
      <c r="H40">
        <v>45.55</v>
      </c>
    </row>
    <row r="41" spans="1:25" x14ac:dyDescent="0.25">
      <c r="A41" t="s">
        <v>54</v>
      </c>
      <c r="H41">
        <v>2700.7170000000001</v>
      </c>
    </row>
    <row r="42" spans="1:25" x14ac:dyDescent="0.25">
      <c r="A42" t="s">
        <v>55</v>
      </c>
      <c r="H42">
        <v>2523.62</v>
      </c>
    </row>
    <row r="43" spans="1:25" x14ac:dyDescent="0.25">
      <c r="A43" t="s">
        <v>56</v>
      </c>
      <c r="H43">
        <v>2315.8679999999999</v>
      </c>
    </row>
    <row r="44" spans="1:25" x14ac:dyDescent="0.25">
      <c r="A44" t="s">
        <v>57</v>
      </c>
      <c r="H44">
        <v>1488.7619999999999</v>
      </c>
    </row>
    <row r="45" spans="1:25" x14ac:dyDescent="0.25">
      <c r="A45" t="s">
        <v>60</v>
      </c>
      <c r="H45">
        <v>845.23099999999999</v>
      </c>
    </row>
    <row r="46" spans="1:25" x14ac:dyDescent="0.25">
      <c r="A46" t="s">
        <v>58</v>
      </c>
      <c r="H46">
        <f>SUM(H37:H45)</f>
        <v>10334.181</v>
      </c>
    </row>
    <row r="47" spans="1:25" x14ac:dyDescent="0.25">
      <c r="A47" t="s">
        <v>61</v>
      </c>
      <c r="H47">
        <v>46.613</v>
      </c>
    </row>
    <row r="48" spans="1:25" x14ac:dyDescent="0.25">
      <c r="A48" t="s">
        <v>62</v>
      </c>
      <c r="H48">
        <v>92.7</v>
      </c>
    </row>
    <row r="49" spans="1:8" x14ac:dyDescent="0.25">
      <c r="A49" t="s">
        <v>63</v>
      </c>
      <c r="H49">
        <f>24+12491.102</f>
        <v>12515.102000000001</v>
      </c>
    </row>
    <row r="50" spans="1:8" x14ac:dyDescent="0.25">
      <c r="A50" t="s">
        <v>64</v>
      </c>
      <c r="H50">
        <v>272.435</v>
      </c>
    </row>
    <row r="51" spans="1:8" x14ac:dyDescent="0.25">
      <c r="A51" t="s">
        <v>65</v>
      </c>
      <c r="H51">
        <f>21.49+1979.15+332.22</f>
        <v>2332.86</v>
      </c>
    </row>
    <row r="52" spans="1:8" x14ac:dyDescent="0.25">
      <c r="A52" t="s">
        <v>66</v>
      </c>
      <c r="H52">
        <f>SUM(H47:H51)</f>
        <v>15259.710000000001</v>
      </c>
    </row>
    <row r="54" spans="1:8" x14ac:dyDescent="0.25">
      <c r="A54" t="s">
        <v>67</v>
      </c>
      <c r="H54">
        <f>H46-H52</f>
        <v>-4925.5290000000005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2023-12-15T19:52:50Z</dcterms:created>
  <dcterms:modified xsi:type="dcterms:W3CDTF">2023-12-15T22:09:07Z</dcterms:modified>
</cp:coreProperties>
</file>