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decc0a7aee32c85f/Ambiente de Trabalho/models/"/>
    </mc:Choice>
  </mc:AlternateContent>
  <xr:revisionPtr revIDLastSave="130" documentId="8_{34E43CBB-15DD-4EAD-9DF5-D2C1F8E02957}" xr6:coauthVersionLast="47" xr6:coauthVersionMax="47" xr10:uidLastSave="{7E46D847-3DB5-4327-A612-C099F5410E8B}"/>
  <bookViews>
    <workbookView xWindow="-120" yWindow="-120" windowWidth="29040" windowHeight="15720" activeTab="1" xr2:uid="{C30A4A50-8F82-488D-94A7-AFB0131AD08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6" i="2" l="1"/>
  <c r="P16" i="2"/>
  <c r="R16" i="2" s="1"/>
  <c r="S16" i="2" s="1"/>
  <c r="T16" i="2" s="1"/>
  <c r="U16" i="2" s="1"/>
  <c r="V16" i="2" s="1"/>
  <c r="Q11" i="2"/>
  <c r="R11" i="2" s="1"/>
  <c r="S11" i="2" s="1"/>
  <c r="T11" i="2" s="1"/>
  <c r="U11" i="2" s="1"/>
  <c r="V11" i="2" s="1"/>
  <c r="P11" i="2"/>
  <c r="Q5" i="2"/>
  <c r="R5" i="2" s="1"/>
  <c r="S5" i="2" s="1"/>
  <c r="T5" i="2" s="1"/>
  <c r="U5" i="2" s="1"/>
  <c r="V5" i="2" s="1"/>
  <c r="P5" i="2"/>
  <c r="S4" i="2"/>
  <c r="R4" i="2"/>
  <c r="Q4" i="2"/>
  <c r="P4" i="2"/>
  <c r="Y6" i="2"/>
  <c r="Q21" i="2"/>
  <c r="R21" i="2" s="1"/>
  <c r="S21" i="2" s="1"/>
  <c r="T21" i="2" s="1"/>
  <c r="U21" i="2" s="1"/>
  <c r="V21" i="2" s="1"/>
  <c r="P21" i="2"/>
  <c r="Q12" i="2"/>
  <c r="R12" i="2" s="1"/>
  <c r="S12" i="2" s="1"/>
  <c r="T12" i="2" s="1"/>
  <c r="U12" i="2" s="1"/>
  <c r="V12" i="2" s="1"/>
  <c r="P12" i="2"/>
  <c r="Q10" i="2"/>
  <c r="P10" i="2"/>
  <c r="Q8" i="2"/>
  <c r="R8" i="2" s="1"/>
  <c r="S8" i="2" s="1"/>
  <c r="T8" i="2" s="1"/>
  <c r="U8" i="2" s="1"/>
  <c r="V8" i="2" s="1"/>
  <c r="P8" i="2"/>
  <c r="Q7" i="2"/>
  <c r="R7" i="2" s="1"/>
  <c r="S7" i="2" s="1"/>
  <c r="T7" i="2" s="1"/>
  <c r="U7" i="2" s="1"/>
  <c r="V7" i="2" s="1"/>
  <c r="P7" i="2"/>
  <c r="O26" i="2"/>
  <c r="N26" i="2"/>
  <c r="P25" i="2"/>
  <c r="O25" i="2"/>
  <c r="N25" i="2"/>
  <c r="V24" i="2"/>
  <c r="U24" i="2"/>
  <c r="R24" i="2"/>
  <c r="P24" i="2"/>
  <c r="O24" i="2"/>
  <c r="N24" i="2"/>
  <c r="P3" i="2"/>
  <c r="Q3" i="2" s="1"/>
  <c r="R3" i="2" s="1"/>
  <c r="S3" i="2" s="1"/>
  <c r="T3" i="2" s="1"/>
  <c r="U3" i="2" s="1"/>
  <c r="V3" i="2" s="1"/>
  <c r="I34" i="2"/>
  <c r="B6" i="1"/>
  <c r="B5" i="1"/>
  <c r="B2" i="1" a="1"/>
  <c r="B2" i="1" s="1"/>
  <c r="B4" i="1" s="1"/>
  <c r="B7" i="1" s="1"/>
  <c r="I55" i="2"/>
  <c r="I54" i="2"/>
  <c r="I53" i="2"/>
  <c r="I46" i="2"/>
  <c r="I37" i="2"/>
  <c r="M17" i="2"/>
  <c r="M16" i="2"/>
  <c r="M14" i="2"/>
  <c r="M6" i="2"/>
  <c r="V32" i="2"/>
  <c r="U32" i="2"/>
  <c r="T32" i="2"/>
  <c r="S32" i="2"/>
  <c r="R32" i="2"/>
  <c r="Q32" i="2"/>
  <c r="P32" i="2"/>
  <c r="N32" i="2"/>
  <c r="M32" i="2"/>
  <c r="O32" i="2"/>
  <c r="P1" i="2"/>
  <c r="Q1" i="2" s="1"/>
  <c r="R1" i="2" s="1"/>
  <c r="S1" i="2" s="1"/>
  <c r="T1" i="2" s="1"/>
  <c r="U1" i="2" s="1"/>
  <c r="V1" i="2" s="1"/>
  <c r="N16" i="2"/>
  <c r="N14" i="2"/>
  <c r="N6" i="2"/>
  <c r="N9" i="2" s="1"/>
  <c r="N15" i="2" s="1"/>
  <c r="O17" i="2"/>
  <c r="O16" i="2"/>
  <c r="O14" i="2"/>
  <c r="O6" i="2"/>
  <c r="H14" i="2"/>
  <c r="G14" i="2"/>
  <c r="F14" i="2"/>
  <c r="E14" i="2"/>
  <c r="D14" i="2"/>
  <c r="C14" i="2"/>
  <c r="B14" i="2"/>
  <c r="I14" i="2"/>
  <c r="I6" i="2"/>
  <c r="I9" i="2" s="1"/>
  <c r="H6" i="2"/>
  <c r="H9" i="2" s="1"/>
  <c r="G6" i="2"/>
  <c r="G9" i="2" s="1"/>
  <c r="F6" i="2"/>
  <c r="F9" i="2" s="1"/>
  <c r="F15" i="2" s="1"/>
  <c r="F18" i="2" s="1"/>
  <c r="F20" i="2" s="1"/>
  <c r="E6" i="2"/>
  <c r="E9" i="2" s="1"/>
  <c r="D6" i="2"/>
  <c r="D9" i="2" s="1"/>
  <c r="C6" i="2"/>
  <c r="C9" i="2" s="1"/>
  <c r="C15" i="2" s="1"/>
  <c r="C18" i="2" s="1"/>
  <c r="C20" i="2" s="1"/>
  <c r="B6" i="2"/>
  <c r="B9" i="2" s="1"/>
  <c r="T4" i="2" l="1"/>
  <c r="U4" i="2" s="1"/>
  <c r="V4" i="2" s="1"/>
  <c r="Q14" i="2"/>
  <c r="P14" i="2"/>
  <c r="R10" i="2"/>
  <c r="Q24" i="2"/>
  <c r="S24" i="2"/>
  <c r="R6" i="2"/>
  <c r="H15" i="2"/>
  <c r="H18" i="2" s="1"/>
  <c r="H20" i="2" s="1"/>
  <c r="T24" i="2"/>
  <c r="P6" i="2"/>
  <c r="I48" i="2"/>
  <c r="I59" i="2" s="1"/>
  <c r="O9" i="2"/>
  <c r="O15" i="2" s="1"/>
  <c r="O18" i="2" s="1"/>
  <c r="O20" i="2" s="1"/>
  <c r="O22" i="2" s="1"/>
  <c r="I57" i="2"/>
  <c r="N18" i="2"/>
  <c r="N20" i="2" s="1"/>
  <c r="N28" i="2" s="1"/>
  <c r="B15" i="2"/>
  <c r="B18" i="2" s="1"/>
  <c r="B20" i="2" s="1"/>
  <c r="D15" i="2"/>
  <c r="D18" i="2" s="1"/>
  <c r="D20" i="2" s="1"/>
  <c r="G15" i="2"/>
  <c r="G18" i="2" s="1"/>
  <c r="G20" i="2" s="1"/>
  <c r="M9" i="2"/>
  <c r="M15" i="2" s="1"/>
  <c r="M27" i="2" s="1"/>
  <c r="N27" i="2"/>
  <c r="O28" i="2"/>
  <c r="E15" i="2"/>
  <c r="E18" i="2" s="1"/>
  <c r="E20" i="2" s="1"/>
  <c r="I15" i="2"/>
  <c r="I18" i="2" s="1"/>
  <c r="I20" i="2" s="1"/>
  <c r="R9" i="2" l="1"/>
  <c r="P9" i="2"/>
  <c r="P15" i="2" s="1"/>
  <c r="P27" i="2" s="1"/>
  <c r="P26" i="2"/>
  <c r="R25" i="2"/>
  <c r="Q25" i="2"/>
  <c r="S25" i="2"/>
  <c r="R14" i="2"/>
  <c r="S10" i="2"/>
  <c r="Q6" i="2"/>
  <c r="N22" i="2"/>
  <c r="O27" i="2"/>
  <c r="S6" i="2"/>
  <c r="S26" i="2" s="1"/>
  <c r="M18" i="2"/>
  <c r="M20" i="2" s="1"/>
  <c r="M22" i="2" s="1"/>
  <c r="Q9" i="2" l="1"/>
  <c r="Q15" i="2" s="1"/>
  <c r="Q27" i="2" s="1"/>
  <c r="Q26" i="2"/>
  <c r="R15" i="2"/>
  <c r="R18" i="2" s="1"/>
  <c r="R26" i="2"/>
  <c r="P18" i="2"/>
  <c r="R27" i="2"/>
  <c r="S14" i="2"/>
  <c r="T10" i="2"/>
  <c r="T25" i="2"/>
  <c r="S9" i="2"/>
  <c r="T6" i="2"/>
  <c r="T26" i="2" s="1"/>
  <c r="M28" i="2"/>
  <c r="Q18" i="2" l="1"/>
  <c r="P19" i="2"/>
  <c r="P20" i="2" s="1"/>
  <c r="R19" i="2"/>
  <c r="R20" i="2" s="1"/>
  <c r="T14" i="2"/>
  <c r="U10" i="2"/>
  <c r="S15" i="2"/>
  <c r="S18" i="2" s="1"/>
  <c r="U25" i="2"/>
  <c r="T9" i="2"/>
  <c r="U6" i="2"/>
  <c r="U26" i="2" s="1"/>
  <c r="R28" i="2" l="1"/>
  <c r="R22" i="2"/>
  <c r="P28" i="2"/>
  <c r="P22" i="2"/>
  <c r="S19" i="2"/>
  <c r="S20" i="2" s="1"/>
  <c r="Q19" i="2"/>
  <c r="Q20" i="2" s="1"/>
  <c r="S27" i="2"/>
  <c r="V10" i="2"/>
  <c r="V14" i="2" s="1"/>
  <c r="U14" i="2"/>
  <c r="T15" i="2"/>
  <c r="T18" i="2" s="1"/>
  <c r="V6" i="2"/>
  <c r="V26" i="2" s="1"/>
  <c r="V25" i="2"/>
  <c r="U9" i="2"/>
  <c r="V9" i="2" l="1"/>
  <c r="V15" i="2" s="1"/>
  <c r="V27" i="2" s="1"/>
  <c r="Q22" i="2"/>
  <c r="Q28" i="2"/>
  <c r="S22" i="2"/>
  <c r="S28" i="2"/>
  <c r="T19" i="2"/>
  <c r="T20" i="2" s="1"/>
  <c r="T28" i="2" s="1"/>
  <c r="T27" i="2"/>
  <c r="U15" i="2"/>
  <c r="U18" i="2" s="1"/>
  <c r="T22" i="2" l="1"/>
  <c r="U19" i="2"/>
  <c r="U20" i="2" s="1"/>
  <c r="V18" i="2"/>
  <c r="U27" i="2"/>
  <c r="U28" i="2" l="1"/>
  <c r="U22" i="2"/>
  <c r="V19" i="2"/>
  <c r="V20" i="2" s="1"/>
  <c r="V28" i="2" l="1"/>
  <c r="W20" i="2"/>
  <c r="X20" i="2" s="1"/>
  <c r="Y20" i="2" s="1"/>
  <c r="Z20" i="2" s="1"/>
  <c r="AA20" i="2" s="1"/>
  <c r="AB20" i="2" s="1"/>
  <c r="AC20" i="2" s="1"/>
  <c r="AD20" i="2" s="1"/>
  <c r="AE20" i="2" s="1"/>
  <c r="AF20" i="2" s="1"/>
  <c r="AG20" i="2" s="1"/>
  <c r="AH20" i="2" s="1"/>
  <c r="AI20" i="2" s="1"/>
  <c r="AJ20" i="2" s="1"/>
  <c r="AK20" i="2" s="1"/>
  <c r="AL20" i="2" s="1"/>
  <c r="AM20" i="2" s="1"/>
  <c r="AN20" i="2" s="1"/>
  <c r="AO20" i="2" s="1"/>
  <c r="AP20" i="2" s="1"/>
  <c r="AQ20" i="2" s="1"/>
  <c r="AR20" i="2" s="1"/>
  <c r="AS20" i="2" s="1"/>
  <c r="AT20" i="2" s="1"/>
  <c r="AU20" i="2" s="1"/>
  <c r="AV20" i="2" s="1"/>
  <c r="AW20" i="2" s="1"/>
  <c r="AX20" i="2" s="1"/>
  <c r="AY20" i="2" s="1"/>
  <c r="AZ20" i="2" s="1"/>
  <c r="BA20" i="2" s="1"/>
  <c r="BB20" i="2" s="1"/>
  <c r="BC20" i="2" s="1"/>
  <c r="BD20" i="2" s="1"/>
  <c r="BE20" i="2" s="1"/>
  <c r="BF20" i="2" s="1"/>
  <c r="BG20" i="2" s="1"/>
  <c r="BH20" i="2" s="1"/>
  <c r="BI20" i="2" s="1"/>
  <c r="BJ20" i="2" s="1"/>
  <c r="BK20" i="2" s="1"/>
  <c r="BL20" i="2" s="1"/>
  <c r="BM20" i="2" s="1"/>
  <c r="BN20" i="2" s="1"/>
  <c r="BO20" i="2" s="1"/>
  <c r="BP20" i="2" s="1"/>
  <c r="BQ20" i="2" s="1"/>
  <c r="BR20" i="2" s="1"/>
  <c r="BS20" i="2" s="1"/>
  <c r="BT20" i="2" s="1"/>
  <c r="BU20" i="2" s="1"/>
  <c r="BV20" i="2" s="1"/>
  <c r="BW20" i="2" s="1"/>
  <c r="BX20" i="2" s="1"/>
  <c r="BY20" i="2" s="1"/>
  <c r="BZ20" i="2" s="1"/>
  <c r="CA20" i="2" s="1"/>
  <c r="CB20" i="2" s="1"/>
  <c r="CC20" i="2" s="1"/>
  <c r="CD20" i="2" s="1"/>
  <c r="CE20" i="2" s="1"/>
  <c r="CF20" i="2" s="1"/>
  <c r="CG20" i="2" s="1"/>
  <c r="CH20" i="2" s="1"/>
  <c r="CI20" i="2" s="1"/>
  <c r="CJ20" i="2" s="1"/>
  <c r="CK20" i="2" s="1"/>
  <c r="CL20" i="2" s="1"/>
  <c r="CM20" i="2" s="1"/>
  <c r="CN20" i="2" s="1"/>
  <c r="CO20" i="2" s="1"/>
  <c r="CP20" i="2" s="1"/>
  <c r="CQ20" i="2" s="1"/>
  <c r="CR20" i="2" s="1"/>
  <c r="CS20" i="2" s="1"/>
  <c r="CT20" i="2" s="1"/>
  <c r="CU20" i="2" s="1"/>
  <c r="CV20" i="2" s="1"/>
  <c r="V22" i="2"/>
  <c r="Y5" i="2" l="1"/>
  <c r="Y7" i="2" s="1"/>
  <c r="Y8" i="2" s="1"/>
  <c r="Y9"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<sst xmlns="http://schemas.openxmlformats.org/spreadsheetml/2006/main" count="82" uniqueCount="77">
  <si>
    <t>Number of stores</t>
  </si>
  <si>
    <t>Company Operated</t>
  </si>
  <si>
    <t>Licensed</t>
  </si>
  <si>
    <t>% net revenue</t>
  </si>
  <si>
    <t>Sales</t>
  </si>
  <si>
    <t>Beverages</t>
  </si>
  <si>
    <t>Food</t>
  </si>
  <si>
    <t>Other</t>
  </si>
  <si>
    <t>% revenue</t>
  </si>
  <si>
    <t>Company operated stores</t>
  </si>
  <si>
    <t>Total Revenue</t>
  </si>
  <si>
    <t>Q1 2022</t>
  </si>
  <si>
    <t>Q2 2022</t>
  </si>
  <si>
    <t>Q3 2022</t>
  </si>
  <si>
    <t>Q4 2022</t>
  </si>
  <si>
    <t>Q1 2023</t>
  </si>
  <si>
    <t>Q2 2023</t>
  </si>
  <si>
    <t>Q3 2023</t>
  </si>
  <si>
    <t>Q4 2023</t>
  </si>
  <si>
    <t>(millions USD)</t>
  </si>
  <si>
    <t>Product and distribution costs</t>
  </si>
  <si>
    <t>Gross Profit</t>
  </si>
  <si>
    <t>Store Operating Expenses</t>
  </si>
  <si>
    <t>D&amp;A</t>
  </si>
  <si>
    <t>G&amp;A</t>
  </si>
  <si>
    <t>Other expenses</t>
  </si>
  <si>
    <t>Restructuring and impairments</t>
  </si>
  <si>
    <t>Total OpEx</t>
  </si>
  <si>
    <t>Operating Income</t>
  </si>
  <si>
    <t>Other income</t>
  </si>
  <si>
    <t>Net Interest</t>
  </si>
  <si>
    <t>Pretax Income</t>
  </si>
  <si>
    <t>Taxes</t>
  </si>
  <si>
    <t>Net Income</t>
  </si>
  <si>
    <t>Shares</t>
  </si>
  <si>
    <t>EPS</t>
  </si>
  <si>
    <t>Revenue Y/Y %</t>
  </si>
  <si>
    <t>Operating Margin %</t>
  </si>
  <si>
    <t>Net Margin %</t>
  </si>
  <si>
    <t>CFFO</t>
  </si>
  <si>
    <t>CAPEX</t>
  </si>
  <si>
    <t>FCF</t>
  </si>
  <si>
    <t>balance sheet</t>
  </si>
  <si>
    <t>cash</t>
  </si>
  <si>
    <t>A/R</t>
  </si>
  <si>
    <t>Inventories</t>
  </si>
  <si>
    <t>Prepaid expenses</t>
  </si>
  <si>
    <t>Long-term investments</t>
  </si>
  <si>
    <t>Equity investments</t>
  </si>
  <si>
    <t>PP&amp;E</t>
  </si>
  <si>
    <t>Operating lease</t>
  </si>
  <si>
    <t>Deferred income taxes</t>
  </si>
  <si>
    <t>Intangibles &amp; Goodwill</t>
  </si>
  <si>
    <t>Other Assets</t>
  </si>
  <si>
    <t>Total Assets</t>
  </si>
  <si>
    <t>A/P</t>
  </si>
  <si>
    <t>Accrued liabilities</t>
  </si>
  <si>
    <t>Accrued payroll and benefits</t>
  </si>
  <si>
    <t>Deferred revenue</t>
  </si>
  <si>
    <t>debt</t>
  </si>
  <si>
    <t>Other liabilities</t>
  </si>
  <si>
    <t>Debt</t>
  </si>
  <si>
    <t>S/E</t>
  </si>
  <si>
    <t>Total Liabilities</t>
  </si>
  <si>
    <t>Ticket</t>
  </si>
  <si>
    <t>price</t>
  </si>
  <si>
    <t>shares</t>
  </si>
  <si>
    <t>mc</t>
  </si>
  <si>
    <t>ev</t>
  </si>
  <si>
    <t>net cash</t>
  </si>
  <si>
    <t>Licensed Stores</t>
  </si>
  <si>
    <t>Company operated Revenue Y/Y %</t>
  </si>
  <si>
    <t>Licensed Stores Revenue Y/Y %</t>
  </si>
  <si>
    <t>discount rate</t>
  </si>
  <si>
    <t>npv</t>
  </si>
  <si>
    <t>maturity</t>
  </si>
  <si>
    <t>share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</si>
</sst>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0.00"/>
    <numFmt numFmtId="165" formatCode="0.0%"/>
    <numFmt numFmtId="166" formatCode="_([$$-409]* #,##0.00_);_([$$-409]* \(#,##0.00\);_([$$-409]* &quot;-&quot;??_);_(@_)"/>
    <numFmt numFmtId="167" formatCode="_-[$$-409]* #,##0.00_ ;_-[$$-409]* \-#,##0.00\ ;_-[$$-409]* &quot;-&quot;??_ ;_-@_ "/>
    <numFmt numFmtId="168" formatCode="[$$-409]#,##0.00_ ;[Red]\-[$$-409]#,##0.00\ "/>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9" fontId="0" fillId="0" borderId="0" xfId="0" applyNumberFormat="1"/>
    <xf numFmtId="0" fontId="2" fillId="0" borderId="0" xfId="0" applyFont="1"/>
    <xf numFmtId="164" fontId="0" fillId="0" borderId="0" xfId="0" applyNumberFormat="1"/>
    <xf numFmtId="165" fontId="0" fillId="0" borderId="0" xfId="1" applyNumberFormat="1" applyFont="1"/>
    <xf numFmtId="14" fontId="2" fillId="0" borderId="0" xfId="0" applyNumberFormat="1" applyFont="1"/>
    <xf numFmtId="166" fontId="0" fillId="0" borderId="0" xfId="0" applyNumberFormat="1"/>
    <xf numFmtId="167" fontId="0" fillId="0" borderId="0" xfId="0" applyNumberFormat="1"/>
    <xf numFmtId="4" fontId="0" fillId="0" borderId="0" xfId="0" applyNumberFormat="1"/>
    <xf numFmtId="4" fontId="2" fillId="0" borderId="0" xfId="0" applyNumberFormat="1" applyFont="1"/>
    <xf numFmtId="168" fontId="0" fillId="0" borderId="0" xfId="0" applyNumberFormat="1"/>
    <xf numFmtId="165" fontId="0" fillId="0" borderId="0" xfId="0" applyNumberFormat="1"/>
    <xf numFmtId="168" fontId="2"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14</xdr:col>
      <xdr:colOff>600075</xdr:colOff>
      <xdr:row>0</xdr:row>
      <xdr:rowOff>9525</xdr:rowOff>
    </xdr:from>
    <xdr:to>
      <xdr:col>15</xdr:col>
      <xdr:colOff>9525</xdr:colOff>
      <xdr:row>35</xdr:row>
      <xdr:rowOff>123825</xdr:rowOff>
    </xdr:to>
    <xdr:cxnSp macro="">
      <xdr:nvCxnSpPr>
        <xdr:cNvPr id="3" name="Straight Connector 2">
          <a:extLst>
            <a:ext uri="{FF2B5EF4-FFF2-40B4-BE49-F238E27FC236}">
              <a16:creationId xmlns:a16="http://schemas.microsoft.com/office/drawing/2014/main" id="{57DEB85D-4EFD-BC69-3491-42753F11A7A4}"/>
            </a:ext>
          </a:extLst>
        </xdr:cNvPr>
        <xdr:cNvCxnSpPr/>
      </xdr:nvCxnSpPr>
      <xdr:spPr>
        <a:xfrm>
          <a:off x="10591800" y="9525"/>
          <a:ext cx="19050" cy="601980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https://www.bing.com/financeapi/forcetrigger?t=a22k9c&amp;q=XNAS%3aSBUX&amp;form=skydnc</v>
    <v>Learn more on Bing</v>
  </rv>
  <rv s="1">
    <v>en-GB</v>
    <v>a22k9c</v>
    <v>268435456</v>
    <v>1</v>
    <v>Powered by Refinitiv</v>
    <v>0</v>
    <v>STARBUCKS CORPORATION (XNAS:SBUX)</v>
    <v>2</v>
    <v>3</v>
    <v>Finance</v>
    <v>4</v>
    <v>115.48</v>
    <v>89.21</v>
    <v>0.98760000000000003</v>
    <v>-1.83</v>
    <v>-1.8808000000000002E-2</v>
    <v>USD</v>
    <v>Starbucks Corporation is a coffee company engaged in sourcing and roasting arabica coffee. The Company has more than 38,000 stores worldwide and is the roaster and retailer of specialty coffee in the world. It operates through three segments: North America, which is inclusive of the United States and Canada; International, which is inclusive of China, Japan, Asia Pacific, Europe, Middle East and Africa, Latin America, and Caribbean; and Channel Development. Its North America and International segments include both Company-operated and licensed stores. Its Channel Development segment includes roasted whole bean and ground coffees, Starbucks and Teavana-branded single-serve products, a variety of ready-to-drink beverages, such as Frappuccino and Starbucks Doubleshot, foodservice products and other branded products sold worldwide outside of Company-operated and licensed stores. It also sells goods and services under various brands, including Teavana, Ethos, Starbucks Reserve and Princi.</v>
    <v>381000</v>
    <v>Nasdaq Stock Market</v>
    <v>XNAS</v>
    <v>XNAS</v>
    <v>P O Box 34067, SEATTLE, WA, 98124-1067 US</v>
    <v>97.139200000000002</v>
    <v>Hotels &amp; Entertainment Services</v>
    <v>Stock</v>
    <v>45335.041405219534</v>
    <v>0</v>
    <v>95.38</v>
    <v>110163100000</v>
    <v>STARBUCKS CORPORATION</v>
    <v>STARBUCKS CORPORATION</v>
    <v>96.92</v>
    <v>29.1325</v>
    <v>97.3</v>
    <v>95.47</v>
    <v>1132200000</v>
    <v>SBUX</v>
    <v>STARBUCKS CORPORATION (XNAS:SBUX)</v>
    <v>1167</v>
    <v>10063456</v>
    <v>1985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C60CE-ED72-4E42-B14C-1757AD499AC4}">
  <dimension ref="A1:G15"/>
  <sheetViews>
    <sheetView workbookViewId="0">
      <selection activeCell="B16" sqref="B16"/>
    </sheetView>
  </sheetViews>
  <sheetFormatPr defaultRowHeight="15" x14ac:dyDescent="0.25"/>
  <cols>
    <col min="1" max="1" width="16.5703125" bestFit="1" customWidth="1"/>
    <col min="2" max="2" width="18.42578125" bestFit="1" customWidth="1"/>
  </cols>
  <sheetData>
    <row r="1" spans="1:7" x14ac:dyDescent="0.25">
      <c r="A1" t="s">
        <v>64</v>
      </c>
      <c r="B1" t="e" vm="1">
        <v>#VALUE!</v>
      </c>
    </row>
    <row r="2" spans="1:7" x14ac:dyDescent="0.25">
      <c r="A2" t="s">
        <v>65</v>
      </c>
      <c r="B2" s="6" cm="1">
        <f t="array" ref="B2">_FV(B1,"Price")</f>
        <v>95.47</v>
      </c>
    </row>
    <row r="3" spans="1:7" x14ac:dyDescent="0.25">
      <c r="A3" t="s">
        <v>66</v>
      </c>
      <c r="B3">
        <v>1146.8</v>
      </c>
    </row>
    <row r="4" spans="1:7" x14ac:dyDescent="0.25">
      <c r="A4" t="s">
        <v>67</v>
      </c>
      <c r="B4" s="7">
        <f>B2*B3</f>
        <v>109484.996</v>
      </c>
    </row>
    <row r="5" spans="1:7" x14ac:dyDescent="0.25">
      <c r="A5" t="s">
        <v>43</v>
      </c>
      <c r="B5">
        <f>3551.5+401.5</f>
        <v>3953</v>
      </c>
    </row>
    <row r="6" spans="1:7" x14ac:dyDescent="0.25">
      <c r="A6" t="s">
        <v>59</v>
      </c>
      <c r="B6">
        <f>33.5+1818.6+13547.6</f>
        <v>15399.7</v>
      </c>
    </row>
    <row r="7" spans="1:7" x14ac:dyDescent="0.25">
      <c r="A7" t="s">
        <v>68</v>
      </c>
      <c r="B7" s="7">
        <f>B4-B5+B6</f>
        <v>120931.696</v>
      </c>
    </row>
    <row r="12" spans="1:7" x14ac:dyDescent="0.25">
      <c r="B12" t="s">
        <v>1</v>
      </c>
      <c r="C12" t="s">
        <v>2</v>
      </c>
      <c r="F12" t="s">
        <v>4</v>
      </c>
      <c r="G12" t="s">
        <v>8</v>
      </c>
    </row>
    <row r="13" spans="1:7" x14ac:dyDescent="0.25">
      <c r="A13" t="s">
        <v>0</v>
      </c>
      <c r="B13">
        <v>19592</v>
      </c>
      <c r="C13">
        <v>18446</v>
      </c>
      <c r="F13" t="s">
        <v>5</v>
      </c>
      <c r="G13" s="1">
        <v>0.74</v>
      </c>
    </row>
    <row r="14" spans="1:7" x14ac:dyDescent="0.25">
      <c r="A14" t="s">
        <v>3</v>
      </c>
      <c r="B14" s="1">
        <v>0.82</v>
      </c>
      <c r="C14" s="1">
        <v>0.13</v>
      </c>
      <c r="F14" t="s">
        <v>6</v>
      </c>
      <c r="G14" s="1">
        <v>0.22</v>
      </c>
    </row>
    <row r="15" spans="1:7" x14ac:dyDescent="0.25">
      <c r="F15" t="s">
        <v>7</v>
      </c>
      <c r="G15" s="1">
        <v>0.04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B3879-CF74-441D-84E6-745B219D55E7}">
  <dimension ref="A1:CV59"/>
  <sheetViews>
    <sheetView tabSelected="1" workbookViewId="0">
      <pane xSplit="1" ySplit="2" topLeftCell="L3" activePane="bottomRight" state="frozen"/>
      <selection pane="topRight" activeCell="B1" sqref="B1"/>
      <selection pane="bottomLeft" activeCell="A3" sqref="A3"/>
      <selection pane="bottomRight" activeCell="X11" sqref="X11"/>
    </sheetView>
  </sheetViews>
  <sheetFormatPr defaultRowHeight="15" x14ac:dyDescent="0.25"/>
  <cols>
    <col min="1" max="1" width="27.85546875" bestFit="1" customWidth="1"/>
    <col min="5" max="5" width="10.7109375" bestFit="1" customWidth="1"/>
    <col min="9" max="9" width="10.7109375" bestFit="1" customWidth="1"/>
    <col min="24" max="24" width="12.5703125" bestFit="1" customWidth="1"/>
    <col min="25" max="25" width="11.42578125" bestFit="1" customWidth="1"/>
  </cols>
  <sheetData>
    <row r="1" spans="1:25" s="2" customFormat="1" x14ac:dyDescent="0.25">
      <c r="E1" s="5">
        <v>44835</v>
      </c>
      <c r="I1" s="5">
        <v>45200</v>
      </c>
      <c r="M1" s="2">
        <v>2021</v>
      </c>
      <c r="N1" s="2">
        <v>2022</v>
      </c>
      <c r="O1" s="2">
        <v>2023</v>
      </c>
      <c r="P1" s="2">
        <f>O1+1</f>
        <v>2024</v>
      </c>
      <c r="Q1" s="2">
        <f t="shared" ref="Q1:V1" si="0">P1+1</f>
        <v>2025</v>
      </c>
      <c r="R1" s="2">
        <f t="shared" si="0"/>
        <v>2026</v>
      </c>
      <c r="S1" s="2">
        <f t="shared" si="0"/>
        <v>2027</v>
      </c>
      <c r="T1" s="2">
        <f t="shared" si="0"/>
        <v>2028</v>
      </c>
      <c r="U1" s="2">
        <f t="shared" si="0"/>
        <v>2029</v>
      </c>
      <c r="V1" s="2">
        <f t="shared" si="0"/>
        <v>2030</v>
      </c>
    </row>
    <row r="2" spans="1:25" x14ac:dyDescent="0.25">
      <c r="A2" t="s">
        <v>19</v>
      </c>
      <c r="B2" s="2" t="s">
        <v>11</v>
      </c>
      <c r="C2" s="2" t="s">
        <v>12</v>
      </c>
      <c r="D2" s="2" t="s">
        <v>13</v>
      </c>
      <c r="E2" s="2" t="s">
        <v>14</v>
      </c>
      <c r="F2" s="2" t="s">
        <v>15</v>
      </c>
      <c r="G2" s="2" t="s">
        <v>16</v>
      </c>
      <c r="H2" s="2" t="s">
        <v>17</v>
      </c>
      <c r="I2" s="2" t="s">
        <v>18</v>
      </c>
    </row>
    <row r="3" spans="1:25" x14ac:dyDescent="0.25">
      <c r="A3" t="s">
        <v>9</v>
      </c>
      <c r="B3" s="8"/>
      <c r="C3" s="8"/>
      <c r="D3" s="8"/>
      <c r="E3" s="8"/>
      <c r="F3" s="8"/>
      <c r="G3" s="8"/>
      <c r="H3" s="8"/>
      <c r="I3" s="8"/>
      <c r="J3" s="8"/>
      <c r="K3" s="8"/>
      <c r="L3" s="8"/>
      <c r="M3" s="8">
        <v>24607</v>
      </c>
      <c r="N3" s="8">
        <v>26576.1</v>
      </c>
      <c r="O3" s="8">
        <v>29462.3</v>
      </c>
      <c r="P3" s="8">
        <f>O3*1.08</f>
        <v>31819.284</v>
      </c>
      <c r="Q3" s="8">
        <f t="shared" ref="Q3:V3" si="1">P3*1.08</f>
        <v>34364.826720000005</v>
      </c>
      <c r="R3" s="8">
        <f t="shared" si="1"/>
        <v>37114.012857600006</v>
      </c>
      <c r="S3" s="8">
        <f t="shared" si="1"/>
        <v>40083.133886208008</v>
      </c>
      <c r="T3" s="8">
        <f t="shared" si="1"/>
        <v>43289.784597104655</v>
      </c>
      <c r="U3" s="8">
        <f t="shared" si="1"/>
        <v>46752.967364873031</v>
      </c>
      <c r="V3" s="8">
        <f t="shared" si="1"/>
        <v>50493.204754062877</v>
      </c>
      <c r="X3" t="s">
        <v>73</v>
      </c>
      <c r="Y3" s="1">
        <v>0.08</v>
      </c>
    </row>
    <row r="4" spans="1:25" x14ac:dyDescent="0.25">
      <c r="A4" t="s">
        <v>70</v>
      </c>
      <c r="B4" s="8"/>
      <c r="C4" s="8"/>
      <c r="D4" s="8"/>
      <c r="E4" s="8"/>
      <c r="F4" s="8"/>
      <c r="G4" s="8"/>
      <c r="H4" s="8"/>
      <c r="I4" s="8"/>
      <c r="J4" s="8"/>
      <c r="K4" s="8"/>
      <c r="L4" s="8"/>
      <c r="M4" s="8">
        <v>2683.6</v>
      </c>
      <c r="N4" s="8">
        <v>3655.5</v>
      </c>
      <c r="O4" s="8">
        <v>4512.7</v>
      </c>
      <c r="P4" s="8">
        <f>O4*1.15</f>
        <v>5189.6049999999996</v>
      </c>
      <c r="Q4" s="8">
        <f t="shared" ref="Q4:R4" si="2">P4*1.15</f>
        <v>5968.0457499999993</v>
      </c>
      <c r="R4" s="8">
        <f t="shared" si="2"/>
        <v>6863.2526124999986</v>
      </c>
      <c r="S4" s="8">
        <f>R4*1.13</f>
        <v>7755.4754521249979</v>
      </c>
      <c r="T4" s="8">
        <f t="shared" ref="T4:V4" si="3">S4*1.12</f>
        <v>8686.1325063799977</v>
      </c>
      <c r="U4" s="8">
        <f t="shared" si="3"/>
        <v>9728.4684071455977</v>
      </c>
      <c r="V4" s="8">
        <f t="shared" si="3"/>
        <v>10895.88461600307</v>
      </c>
      <c r="X4" t="s">
        <v>75</v>
      </c>
      <c r="Y4" s="11">
        <v>-0.01</v>
      </c>
    </row>
    <row r="5" spans="1:25" x14ac:dyDescent="0.25">
      <c r="A5" t="s">
        <v>7</v>
      </c>
      <c r="B5" s="8"/>
      <c r="C5" s="8"/>
      <c r="D5" s="8"/>
      <c r="E5" s="8"/>
      <c r="F5" s="8"/>
      <c r="G5" s="8"/>
      <c r="H5" s="8"/>
      <c r="I5" s="8"/>
      <c r="J5" s="8"/>
      <c r="K5" s="8"/>
      <c r="L5" s="8"/>
      <c r="M5" s="8">
        <v>1770</v>
      </c>
      <c r="N5" s="8">
        <v>2018.7</v>
      </c>
      <c r="O5" s="8">
        <v>2000.6</v>
      </c>
      <c r="P5" s="8">
        <f>O5*1.01</f>
        <v>2020.606</v>
      </c>
      <c r="Q5" s="8">
        <f t="shared" ref="Q5:V5" si="4">P5*1.01</f>
        <v>2040.81206</v>
      </c>
      <c r="R5" s="8">
        <f t="shared" si="4"/>
        <v>2061.2201805999998</v>
      </c>
      <c r="S5" s="8">
        <f t="shared" si="4"/>
        <v>2081.8323824059999</v>
      </c>
      <c r="T5" s="8">
        <f t="shared" si="4"/>
        <v>2102.6507062300598</v>
      </c>
      <c r="U5" s="8">
        <f t="shared" si="4"/>
        <v>2123.6772132923602</v>
      </c>
      <c r="V5" s="8">
        <f t="shared" si="4"/>
        <v>2144.913985425284</v>
      </c>
      <c r="X5" t="s">
        <v>74</v>
      </c>
      <c r="Y5" s="10">
        <f>NPV(Y3,P20:XFD20)</f>
        <v>106814.70296918137</v>
      </c>
    </row>
    <row r="6" spans="1:25" x14ac:dyDescent="0.25">
      <c r="A6" s="2" t="s">
        <v>10</v>
      </c>
      <c r="B6" s="9">
        <f t="shared" ref="B6:H6" si="5">SUM(B3:B5)</f>
        <v>0</v>
      </c>
      <c r="C6" s="9">
        <f t="shared" si="5"/>
        <v>0</v>
      </c>
      <c r="D6" s="9">
        <f t="shared" si="5"/>
        <v>0</v>
      </c>
      <c r="E6" s="9">
        <f t="shared" si="5"/>
        <v>0</v>
      </c>
      <c r="F6" s="9">
        <f t="shared" si="5"/>
        <v>0</v>
      </c>
      <c r="G6" s="9">
        <f t="shared" si="5"/>
        <v>0</v>
      </c>
      <c r="H6" s="9">
        <f t="shared" si="5"/>
        <v>0</v>
      </c>
      <c r="I6" s="9">
        <f>SUM(I3:I5)</f>
        <v>0</v>
      </c>
      <c r="J6" s="8"/>
      <c r="K6" s="8"/>
      <c r="L6" s="8"/>
      <c r="M6" s="9">
        <f t="shared" ref="M6" si="6">SUM(M3:M5)</f>
        <v>29060.6</v>
      </c>
      <c r="N6" s="9">
        <f t="shared" ref="N6" si="7">SUM(N3:N5)</f>
        <v>32250.3</v>
      </c>
      <c r="O6" s="9">
        <f>SUM(O3:O5)</f>
        <v>35975.599999999999</v>
      </c>
      <c r="P6" s="9">
        <f t="shared" ref="P6:V6" si="8">SUM(P3:P5)</f>
        <v>39029.494999999995</v>
      </c>
      <c r="Q6" s="9">
        <f t="shared" si="8"/>
        <v>42373.684529999999</v>
      </c>
      <c r="R6" s="9">
        <f t="shared" si="8"/>
        <v>46038.485650700008</v>
      </c>
      <c r="S6" s="9">
        <f t="shared" si="8"/>
        <v>49920.441720739007</v>
      </c>
      <c r="T6" s="9">
        <f t="shared" si="8"/>
        <v>54078.56780971471</v>
      </c>
      <c r="U6" s="9">
        <f t="shared" si="8"/>
        <v>58605.112985310989</v>
      </c>
      <c r="V6" s="9">
        <f t="shared" si="8"/>
        <v>63534.003355491237</v>
      </c>
      <c r="X6" t="s">
        <v>69</v>
      </c>
      <c r="Y6" s="10">
        <f>Sheet1!B5-Sheet1!B6</f>
        <v>-11446.7</v>
      </c>
    </row>
    <row r="7" spans="1:25" x14ac:dyDescent="0.25">
      <c r="A7" t="s">
        <v>20</v>
      </c>
      <c r="B7" s="8"/>
      <c r="C7" s="8"/>
      <c r="D7" s="8"/>
      <c r="E7" s="8"/>
      <c r="F7" s="8"/>
      <c r="G7" s="8"/>
      <c r="H7" s="8"/>
      <c r="I7" s="8"/>
      <c r="J7" s="8"/>
      <c r="K7" s="8"/>
      <c r="L7" s="8"/>
      <c r="M7" s="8">
        <v>8738.7000000000007</v>
      </c>
      <c r="N7" s="8">
        <v>10317.4</v>
      </c>
      <c r="O7" s="8">
        <v>11409.1</v>
      </c>
      <c r="P7" s="8">
        <f>O7*1.055</f>
        <v>12036.6005</v>
      </c>
      <c r="Q7" s="8">
        <f t="shared" ref="Q7:V7" si="9">P7*1.055</f>
        <v>12698.6135275</v>
      </c>
      <c r="R7" s="8">
        <f t="shared" si="9"/>
        <v>13397.0372715125</v>
      </c>
      <c r="S7" s="8">
        <f t="shared" si="9"/>
        <v>14133.874321445686</v>
      </c>
      <c r="T7" s="8">
        <f t="shared" si="9"/>
        <v>14911.237409125199</v>
      </c>
      <c r="U7" s="8">
        <f t="shared" si="9"/>
        <v>15731.355466627083</v>
      </c>
      <c r="V7" s="8">
        <f t="shared" si="9"/>
        <v>16596.580017291573</v>
      </c>
      <c r="X7" t="s">
        <v>68</v>
      </c>
      <c r="Y7" s="10">
        <f>Y5+Y6</f>
        <v>95368.002969181369</v>
      </c>
    </row>
    <row r="8" spans="1:25" x14ac:dyDescent="0.25">
      <c r="A8" t="s">
        <v>22</v>
      </c>
      <c r="B8" s="8"/>
      <c r="C8" s="8"/>
      <c r="D8" s="8"/>
      <c r="E8" s="8"/>
      <c r="F8" s="8"/>
      <c r="G8" s="8"/>
      <c r="H8" s="8"/>
      <c r="I8" s="8"/>
      <c r="J8" s="8"/>
      <c r="K8" s="8"/>
      <c r="L8" s="8"/>
      <c r="M8" s="8">
        <v>11930.9</v>
      </c>
      <c r="N8" s="8">
        <v>13561.8</v>
      </c>
      <c r="O8" s="8">
        <v>14720.3</v>
      </c>
      <c r="P8" s="8">
        <f>O8*1.09</f>
        <v>16045.127</v>
      </c>
      <c r="Q8" s="8">
        <f t="shared" ref="Q8:V8" si="10">P8*1.09</f>
        <v>17489.188430000002</v>
      </c>
      <c r="R8" s="8">
        <f t="shared" si="10"/>
        <v>19063.215388700002</v>
      </c>
      <c r="S8" s="8">
        <f t="shared" si="10"/>
        <v>20778.904773683003</v>
      </c>
      <c r="T8" s="8">
        <f t="shared" si="10"/>
        <v>22649.006203314475</v>
      </c>
      <c r="U8" s="8">
        <f t="shared" si="10"/>
        <v>24687.416761612778</v>
      </c>
      <c r="V8" s="8">
        <f t="shared" si="10"/>
        <v>26909.284270157928</v>
      </c>
      <c r="X8" t="s">
        <v>76</v>
      </c>
      <c r="Y8" s="10">
        <f>Y7/Sheet1!B3</f>
        <v>83.16010025216373</v>
      </c>
    </row>
    <row r="9" spans="1:25" s="2" customFormat="1" x14ac:dyDescent="0.25">
      <c r="A9" s="2" t="s">
        <v>21</v>
      </c>
      <c r="B9" s="9">
        <f t="shared" ref="B9:H9" si="11">B6-B7-B8</f>
        <v>0</v>
      </c>
      <c r="C9" s="9">
        <f t="shared" si="11"/>
        <v>0</v>
      </c>
      <c r="D9" s="9">
        <f t="shared" si="11"/>
        <v>0</v>
      </c>
      <c r="E9" s="9">
        <f t="shared" si="11"/>
        <v>0</v>
      </c>
      <c r="F9" s="9">
        <f t="shared" si="11"/>
        <v>0</v>
      </c>
      <c r="G9" s="9">
        <f t="shared" si="11"/>
        <v>0</v>
      </c>
      <c r="H9" s="9">
        <f t="shared" si="11"/>
        <v>0</v>
      </c>
      <c r="I9" s="9">
        <f>I6-I7-I8</f>
        <v>0</v>
      </c>
      <c r="J9" s="9"/>
      <c r="K9" s="9"/>
      <c r="L9" s="9"/>
      <c r="M9" s="9">
        <f t="shared" ref="M9" si="12">M6-M7-M8</f>
        <v>8390.9999999999982</v>
      </c>
      <c r="N9" s="9">
        <f t="shared" ref="N9" si="13">N6-N7-N8</f>
        <v>8371.1000000000022</v>
      </c>
      <c r="O9" s="9">
        <f>O6-O7-O8</f>
        <v>9846.2000000000007</v>
      </c>
      <c r="P9" s="9">
        <f t="shared" ref="P9:V9" si="14">P6-P7-P8</f>
        <v>10947.767499999994</v>
      </c>
      <c r="Q9" s="9">
        <f t="shared" si="14"/>
        <v>12185.882572499999</v>
      </c>
      <c r="R9" s="9">
        <f t="shared" si="14"/>
        <v>13578.232990487508</v>
      </c>
      <c r="S9" s="9">
        <f t="shared" si="14"/>
        <v>15007.662625610319</v>
      </c>
      <c r="T9" s="9">
        <f t="shared" si="14"/>
        <v>16518.324197275037</v>
      </c>
      <c r="U9" s="9">
        <f t="shared" si="14"/>
        <v>18186.340757071132</v>
      </c>
      <c r="V9" s="9">
        <f t="shared" si="14"/>
        <v>20028.139068041732</v>
      </c>
      <c r="Y9" s="12">
        <f>Y8*0.9</f>
        <v>74.844090226947358</v>
      </c>
    </row>
    <row r="10" spans="1:25" x14ac:dyDescent="0.25">
      <c r="A10" t="s">
        <v>23</v>
      </c>
      <c r="B10" s="8"/>
      <c r="C10" s="8"/>
      <c r="D10" s="8"/>
      <c r="E10" s="8"/>
      <c r="F10" s="8"/>
      <c r="G10" s="8"/>
      <c r="H10" s="8"/>
      <c r="I10" s="8"/>
      <c r="J10" s="8"/>
      <c r="K10" s="8"/>
      <c r="L10" s="8"/>
      <c r="M10" s="8">
        <v>1441.7</v>
      </c>
      <c r="N10" s="8">
        <v>1447.9</v>
      </c>
      <c r="O10" s="8">
        <v>1362.6</v>
      </c>
      <c r="P10" s="8">
        <f>O10*1.035</f>
        <v>1410.2909999999997</v>
      </c>
      <c r="Q10" s="8">
        <f t="shared" ref="Q10:V10" si="15">P10*1.035</f>
        <v>1459.6511849999995</v>
      </c>
      <c r="R10" s="8">
        <f t="shared" si="15"/>
        <v>1510.7389764749994</v>
      </c>
      <c r="S10" s="8">
        <f t="shared" si="15"/>
        <v>1563.6148406516243</v>
      </c>
      <c r="T10" s="8">
        <f t="shared" si="15"/>
        <v>1618.3413600744309</v>
      </c>
      <c r="U10" s="8">
        <f t="shared" si="15"/>
        <v>1674.9833076770358</v>
      </c>
      <c r="V10" s="8">
        <f t="shared" si="15"/>
        <v>1733.6077234457318</v>
      </c>
    </row>
    <row r="11" spans="1:25" x14ac:dyDescent="0.25">
      <c r="A11" t="s">
        <v>24</v>
      </c>
      <c r="B11" s="8"/>
      <c r="C11" s="8"/>
      <c r="D11" s="8"/>
      <c r="E11" s="8"/>
      <c r="F11" s="8"/>
      <c r="G11" s="8"/>
      <c r="H11" s="8"/>
      <c r="I11" s="8"/>
      <c r="J11" s="8"/>
      <c r="K11" s="8"/>
      <c r="L11" s="8"/>
      <c r="M11" s="8">
        <v>1932.6</v>
      </c>
      <c r="N11" s="8">
        <v>2032</v>
      </c>
      <c r="O11" s="8">
        <v>2441.3000000000002</v>
      </c>
      <c r="P11" s="8">
        <f>O11*1.06</f>
        <v>2587.7780000000002</v>
      </c>
      <c r="Q11" s="8">
        <f t="shared" ref="Q11:V11" si="16">P11*1.06</f>
        <v>2743.0446800000004</v>
      </c>
      <c r="R11" s="8">
        <f t="shared" si="16"/>
        <v>2907.6273608000006</v>
      </c>
      <c r="S11" s="8">
        <f t="shared" si="16"/>
        <v>3082.085002448001</v>
      </c>
      <c r="T11" s="8">
        <f t="shared" si="16"/>
        <v>3267.0101025948811</v>
      </c>
      <c r="U11" s="8">
        <f t="shared" si="16"/>
        <v>3463.0307087505744</v>
      </c>
      <c r="V11" s="8">
        <f t="shared" si="16"/>
        <v>3670.8125512756092</v>
      </c>
    </row>
    <row r="12" spans="1:25" x14ac:dyDescent="0.25">
      <c r="A12" t="s">
        <v>25</v>
      </c>
      <c r="B12" s="8"/>
      <c r="C12" s="8"/>
      <c r="D12" s="8"/>
      <c r="E12" s="8"/>
      <c r="F12" s="8"/>
      <c r="G12" s="8"/>
      <c r="H12" s="8"/>
      <c r="I12" s="8"/>
      <c r="J12" s="8"/>
      <c r="K12" s="8"/>
      <c r="L12" s="8"/>
      <c r="M12" s="8">
        <v>359.5</v>
      </c>
      <c r="N12" s="8">
        <v>461.5</v>
      </c>
      <c r="O12" s="8">
        <v>539.4</v>
      </c>
      <c r="P12" s="8">
        <f>O12</f>
        <v>539.4</v>
      </c>
      <c r="Q12" s="8">
        <f t="shared" ref="Q12:V12" si="17">P12</f>
        <v>539.4</v>
      </c>
      <c r="R12" s="8">
        <f t="shared" si="17"/>
        <v>539.4</v>
      </c>
      <c r="S12" s="8">
        <f t="shared" si="17"/>
        <v>539.4</v>
      </c>
      <c r="T12" s="8">
        <f t="shared" si="17"/>
        <v>539.4</v>
      </c>
      <c r="U12" s="8">
        <f t="shared" si="17"/>
        <v>539.4</v>
      </c>
      <c r="V12" s="8">
        <f t="shared" si="17"/>
        <v>539.4</v>
      </c>
    </row>
    <row r="13" spans="1:25" x14ac:dyDescent="0.25">
      <c r="A13" t="s">
        <v>26</v>
      </c>
      <c r="B13" s="8"/>
      <c r="C13" s="8"/>
      <c r="D13" s="8"/>
      <c r="E13" s="8"/>
      <c r="F13" s="8"/>
      <c r="G13" s="8"/>
      <c r="H13" s="8"/>
      <c r="I13" s="8"/>
      <c r="J13" s="8"/>
      <c r="K13" s="8"/>
      <c r="L13" s="8"/>
      <c r="M13" s="8">
        <v>170.4</v>
      </c>
      <c r="N13" s="8">
        <v>46</v>
      </c>
      <c r="O13" s="8">
        <v>21.8</v>
      </c>
      <c r="P13" s="8">
        <v>50</v>
      </c>
      <c r="Q13" s="8">
        <v>50</v>
      </c>
      <c r="R13" s="8">
        <v>50</v>
      </c>
      <c r="S13" s="8">
        <v>50</v>
      </c>
      <c r="T13" s="8">
        <v>50</v>
      </c>
      <c r="U13" s="8">
        <v>50</v>
      </c>
      <c r="V13" s="8">
        <v>50</v>
      </c>
    </row>
    <row r="14" spans="1:25" x14ac:dyDescent="0.25">
      <c r="A14" t="s">
        <v>27</v>
      </c>
      <c r="B14" s="8">
        <f t="shared" ref="B14:H14" si="18">SUM(B10:B13)</f>
        <v>0</v>
      </c>
      <c r="C14" s="8">
        <f t="shared" si="18"/>
        <v>0</v>
      </c>
      <c r="D14" s="8">
        <f t="shared" si="18"/>
        <v>0</v>
      </c>
      <c r="E14" s="8">
        <f t="shared" si="18"/>
        <v>0</v>
      </c>
      <c r="F14" s="8">
        <f t="shared" si="18"/>
        <v>0</v>
      </c>
      <c r="G14" s="8">
        <f t="shared" si="18"/>
        <v>0</v>
      </c>
      <c r="H14" s="8">
        <f t="shared" si="18"/>
        <v>0</v>
      </c>
      <c r="I14" s="8">
        <f>SUM(I10:I13)</f>
        <v>0</v>
      </c>
      <c r="J14" s="8"/>
      <c r="K14" s="8"/>
      <c r="L14" s="8"/>
      <c r="M14" s="8">
        <f t="shared" ref="M14" si="19">SUM(M10:M13)</f>
        <v>3904.2000000000003</v>
      </c>
      <c r="N14" s="8">
        <f t="shared" ref="N14" si="20">SUM(N10:N13)</f>
        <v>3987.4</v>
      </c>
      <c r="O14" s="8">
        <f>SUM(O10:O13)</f>
        <v>4365.1000000000004</v>
      </c>
      <c r="P14" s="8">
        <f t="shared" ref="P14:V14" si="21">SUM(P10:P13)</f>
        <v>4587.4690000000001</v>
      </c>
      <c r="Q14" s="8">
        <f t="shared" si="21"/>
        <v>4792.0958649999993</v>
      </c>
      <c r="R14" s="8">
        <f t="shared" si="21"/>
        <v>5007.7663372749994</v>
      </c>
      <c r="S14" s="8">
        <f t="shared" si="21"/>
        <v>5235.0998430996251</v>
      </c>
      <c r="T14" s="8">
        <f t="shared" si="21"/>
        <v>5474.7514626693119</v>
      </c>
      <c r="U14" s="8">
        <f t="shared" si="21"/>
        <v>5727.4140164276096</v>
      </c>
      <c r="V14" s="8">
        <f t="shared" si="21"/>
        <v>5993.8202747213409</v>
      </c>
    </row>
    <row r="15" spans="1:25" x14ac:dyDescent="0.25">
      <c r="A15" s="2" t="s">
        <v>28</v>
      </c>
      <c r="B15" s="9">
        <f t="shared" ref="B15:D15" si="22">B9-B14</f>
        <v>0</v>
      </c>
      <c r="C15" s="9">
        <f t="shared" si="22"/>
        <v>0</v>
      </c>
      <c r="D15" s="9">
        <f t="shared" si="22"/>
        <v>0</v>
      </c>
      <c r="E15" s="9">
        <f>E9-E14</f>
        <v>0</v>
      </c>
      <c r="F15" s="9">
        <f t="shared" ref="F15:I15" si="23">F9-F14</f>
        <v>0</v>
      </c>
      <c r="G15" s="9">
        <f t="shared" si="23"/>
        <v>0</v>
      </c>
      <c r="H15" s="9">
        <f t="shared" si="23"/>
        <v>0</v>
      </c>
      <c r="I15" s="9">
        <f t="shared" si="23"/>
        <v>0</v>
      </c>
      <c r="J15" s="8"/>
      <c r="K15" s="8"/>
      <c r="L15" s="8"/>
      <c r="M15" s="9">
        <f t="shared" ref="M15" si="24">M9-M14</f>
        <v>4486.7999999999975</v>
      </c>
      <c r="N15" s="9">
        <f>N9-N14</f>
        <v>4383.7000000000025</v>
      </c>
      <c r="O15" s="9">
        <f t="shared" ref="O15" si="25">O9-O14</f>
        <v>5481.1</v>
      </c>
      <c r="P15" s="9">
        <f t="shared" ref="P15" si="26">P9-P14</f>
        <v>6360.2984999999944</v>
      </c>
      <c r="Q15" s="9">
        <f t="shared" ref="Q15" si="27">Q9-Q14</f>
        <v>7393.7867074999995</v>
      </c>
      <c r="R15" s="9">
        <f t="shared" ref="R15" si="28">R9-R14</f>
        <v>8570.4666532125084</v>
      </c>
      <c r="S15" s="9">
        <f t="shared" ref="S15" si="29">S9-S14</f>
        <v>9772.5627825106931</v>
      </c>
      <c r="T15" s="9">
        <f t="shared" ref="T15" si="30">T9-T14</f>
        <v>11043.572734605725</v>
      </c>
      <c r="U15" s="9">
        <f t="shared" ref="U15" si="31">U9-U14</f>
        <v>12458.926740643521</v>
      </c>
      <c r="V15" s="9">
        <f t="shared" ref="V15" si="32">V9-V14</f>
        <v>14034.318793320392</v>
      </c>
    </row>
    <row r="16" spans="1:25" x14ac:dyDescent="0.25">
      <c r="A16" t="s">
        <v>30</v>
      </c>
      <c r="B16" s="8"/>
      <c r="C16" s="8"/>
      <c r="D16" s="8"/>
      <c r="E16" s="8"/>
      <c r="F16" s="8"/>
      <c r="G16" s="8"/>
      <c r="H16" s="8"/>
      <c r="I16" s="8"/>
      <c r="J16" s="8"/>
      <c r="K16" s="8"/>
      <c r="L16" s="8"/>
      <c r="M16" s="8">
        <f>90.1-469.8</f>
        <v>-379.70000000000005</v>
      </c>
      <c r="N16" s="8">
        <f>97-482.9</f>
        <v>-385.9</v>
      </c>
      <c r="O16" s="8">
        <f>81.2-550.1</f>
        <v>-468.90000000000003</v>
      </c>
      <c r="P16" s="8">
        <f>O16*0.985</f>
        <v>-461.86650000000003</v>
      </c>
      <c r="Q16" s="8">
        <f>P16*0.99</f>
        <v>-457.24783500000001</v>
      </c>
      <c r="R16" s="8">
        <f t="shared" ref="R16:V16" si="33">Q16*0.99</f>
        <v>-452.67535665000003</v>
      </c>
      <c r="S16" s="8">
        <f t="shared" si="33"/>
        <v>-448.14860308350001</v>
      </c>
      <c r="T16" s="8">
        <f t="shared" si="33"/>
        <v>-443.66711705266499</v>
      </c>
      <c r="U16" s="8">
        <f t="shared" si="33"/>
        <v>-439.23044588213833</v>
      </c>
      <c r="V16" s="8">
        <f t="shared" si="33"/>
        <v>-434.83814142331693</v>
      </c>
    </row>
    <row r="17" spans="1:100" x14ac:dyDescent="0.25">
      <c r="A17" t="s">
        <v>29</v>
      </c>
      <c r="B17" s="8"/>
      <c r="C17" s="8"/>
      <c r="D17" s="8"/>
      <c r="E17" s="8"/>
      <c r="F17" s="8"/>
      <c r="G17" s="8"/>
      <c r="H17" s="8"/>
      <c r="I17" s="8"/>
      <c r="J17" s="8"/>
      <c r="K17" s="8"/>
      <c r="L17" s="8"/>
      <c r="M17" s="8">
        <f>864.5+385.9</f>
        <v>1250.4000000000001</v>
      </c>
      <c r="N17" s="8">
        <v>234.1</v>
      </c>
      <c r="O17" s="8">
        <f>298.4+91.3</f>
        <v>389.7</v>
      </c>
      <c r="P17" s="8">
        <v>200</v>
      </c>
      <c r="Q17" s="8">
        <v>200</v>
      </c>
      <c r="R17" s="8">
        <v>200</v>
      </c>
      <c r="S17" s="8">
        <v>200</v>
      </c>
      <c r="T17" s="8">
        <v>200</v>
      </c>
      <c r="U17" s="8">
        <v>200</v>
      </c>
      <c r="V17" s="8">
        <v>200</v>
      </c>
    </row>
    <row r="18" spans="1:100" x14ac:dyDescent="0.25">
      <c r="A18" s="2" t="s">
        <v>31</v>
      </c>
      <c r="B18" s="9">
        <f t="shared" ref="B18:H18" si="34">B15+B16+B17</f>
        <v>0</v>
      </c>
      <c r="C18" s="9">
        <f t="shared" si="34"/>
        <v>0</v>
      </c>
      <c r="D18" s="9">
        <f t="shared" si="34"/>
        <v>0</v>
      </c>
      <c r="E18" s="9">
        <f t="shared" si="34"/>
        <v>0</v>
      </c>
      <c r="F18" s="9">
        <f t="shared" si="34"/>
        <v>0</v>
      </c>
      <c r="G18" s="9">
        <f t="shared" si="34"/>
        <v>0</v>
      </c>
      <c r="H18" s="9">
        <f t="shared" si="34"/>
        <v>0</v>
      </c>
      <c r="I18" s="9">
        <f>I15+I16+I17</f>
        <v>0</v>
      </c>
      <c r="J18" s="8"/>
      <c r="K18" s="8"/>
      <c r="L18" s="8"/>
      <c r="M18" s="9">
        <f t="shared" ref="M18" si="35">M15+M16+M17</f>
        <v>5357.4999999999982</v>
      </c>
      <c r="N18" s="9">
        <f t="shared" ref="N18" si="36">N15+N16+N17</f>
        <v>4231.9000000000024</v>
      </c>
      <c r="O18" s="9">
        <f>O15+O16+O17</f>
        <v>5401.9000000000005</v>
      </c>
      <c r="P18" s="9">
        <f t="shared" ref="P18:V18" si="37">P15+P16+P17</f>
        <v>6098.4319999999943</v>
      </c>
      <c r="Q18" s="9">
        <f t="shared" si="37"/>
        <v>7136.5388724999993</v>
      </c>
      <c r="R18" s="9">
        <f t="shared" si="37"/>
        <v>8317.7912965625073</v>
      </c>
      <c r="S18" s="9">
        <f t="shared" si="37"/>
        <v>9524.4141794271927</v>
      </c>
      <c r="T18" s="9">
        <f t="shared" si="37"/>
        <v>10799.90561755306</v>
      </c>
      <c r="U18" s="9">
        <f t="shared" si="37"/>
        <v>12219.696294761383</v>
      </c>
      <c r="V18" s="9">
        <f t="shared" si="37"/>
        <v>13799.480651897074</v>
      </c>
    </row>
    <row r="19" spans="1:100" x14ac:dyDescent="0.25">
      <c r="A19" t="s">
        <v>32</v>
      </c>
      <c r="B19" s="8"/>
      <c r="C19" s="8"/>
      <c r="D19" s="8"/>
      <c r="E19" s="8"/>
      <c r="F19" s="8"/>
      <c r="G19" s="8"/>
      <c r="H19" s="8"/>
      <c r="I19" s="8"/>
      <c r="J19" s="8"/>
      <c r="K19" s="8"/>
      <c r="L19" s="8"/>
      <c r="M19" s="8">
        <v>1156.5999999999999</v>
      </c>
      <c r="N19" s="8">
        <v>948.5</v>
      </c>
      <c r="O19" s="8">
        <v>1277.2</v>
      </c>
      <c r="P19" s="8">
        <f>P18*0.22</f>
        <v>1341.6550399999987</v>
      </c>
      <c r="Q19" s="8">
        <f t="shared" ref="Q19:V19" si="38">Q18*0.22</f>
        <v>1570.0385519499998</v>
      </c>
      <c r="R19" s="8">
        <f t="shared" si="38"/>
        <v>1829.9140852437515</v>
      </c>
      <c r="S19" s="8">
        <f t="shared" si="38"/>
        <v>2095.3711194739826</v>
      </c>
      <c r="T19" s="8">
        <f t="shared" si="38"/>
        <v>2375.9792358616733</v>
      </c>
      <c r="U19" s="8">
        <f t="shared" si="38"/>
        <v>2688.3331848475041</v>
      </c>
      <c r="V19" s="8">
        <f t="shared" si="38"/>
        <v>3035.8857434173565</v>
      </c>
    </row>
    <row r="20" spans="1:100" s="9" customFormat="1" x14ac:dyDescent="0.25">
      <c r="A20" s="2" t="s">
        <v>33</v>
      </c>
      <c r="B20" s="9">
        <f t="shared" ref="B20:D20" si="39">B18-B19</f>
        <v>0</v>
      </c>
      <c r="C20" s="9">
        <f t="shared" si="39"/>
        <v>0</v>
      </c>
      <c r="D20" s="9">
        <f t="shared" si="39"/>
        <v>0</v>
      </c>
      <c r="E20" s="9">
        <f>E18-E19</f>
        <v>0</v>
      </c>
      <c r="F20" s="9">
        <f t="shared" ref="F20:I20" si="40">F18-F19</f>
        <v>0</v>
      </c>
      <c r="G20" s="9">
        <f t="shared" si="40"/>
        <v>0</v>
      </c>
      <c r="H20" s="9">
        <f t="shared" si="40"/>
        <v>0</v>
      </c>
      <c r="I20" s="9">
        <f t="shared" si="40"/>
        <v>0</v>
      </c>
      <c r="J20" s="8"/>
      <c r="K20" s="8"/>
      <c r="L20" s="8"/>
      <c r="M20" s="9">
        <f t="shared" ref="M20" si="41">M18-M19</f>
        <v>4200.8999999999978</v>
      </c>
      <c r="N20" s="9">
        <f>N18-N19</f>
        <v>3283.4000000000024</v>
      </c>
      <c r="O20" s="9">
        <f t="shared" ref="O20" si="42">O18-O19</f>
        <v>4124.7000000000007</v>
      </c>
      <c r="P20" s="9">
        <f t="shared" ref="P20" si="43">P18-P19</f>
        <v>4756.7769599999956</v>
      </c>
      <c r="Q20" s="9">
        <f t="shared" ref="Q20" si="44">Q18-Q19</f>
        <v>5566.5003205499997</v>
      </c>
      <c r="R20" s="9">
        <f t="shared" ref="R20" si="45">R18-R19</f>
        <v>6487.8772113187561</v>
      </c>
      <c r="S20" s="9">
        <f t="shared" ref="S20" si="46">S18-S19</f>
        <v>7429.0430599532101</v>
      </c>
      <c r="T20" s="9">
        <f t="shared" ref="T20" si="47">T18-T19</f>
        <v>8423.9263816913881</v>
      </c>
      <c r="U20" s="9">
        <f t="shared" ref="U20" si="48">U18-U19</f>
        <v>9531.3631099138784</v>
      </c>
      <c r="V20" s="9">
        <f t="shared" ref="V20" si="49">V18-V19</f>
        <v>10763.594908479718</v>
      </c>
      <c r="W20" s="9">
        <f>V20*(1+$Y$4)</f>
        <v>10655.95895939492</v>
      </c>
      <c r="X20" s="9">
        <f t="shared" ref="X20:CI20" si="50">W20*(1+$Y$4)</f>
        <v>10549.399369800971</v>
      </c>
      <c r="Y20" s="9">
        <f t="shared" si="50"/>
        <v>10443.905376102961</v>
      </c>
      <c r="Z20" s="9">
        <f t="shared" si="50"/>
        <v>10339.466322341932</v>
      </c>
      <c r="AA20" s="9">
        <f t="shared" si="50"/>
        <v>10236.071659118512</v>
      </c>
      <c r="AB20" s="9">
        <f t="shared" si="50"/>
        <v>10133.710942527327</v>
      </c>
      <c r="AC20" s="9">
        <f t="shared" si="50"/>
        <v>10032.373833102054</v>
      </c>
      <c r="AD20" s="9">
        <f t="shared" si="50"/>
        <v>9932.0500947710334</v>
      </c>
      <c r="AE20" s="9">
        <f t="shared" si="50"/>
        <v>9832.7295938233237</v>
      </c>
      <c r="AF20" s="9">
        <f t="shared" si="50"/>
        <v>9734.4022978850899</v>
      </c>
      <c r="AG20" s="9">
        <f t="shared" si="50"/>
        <v>9637.0582749062396</v>
      </c>
      <c r="AH20" s="9">
        <f t="shared" si="50"/>
        <v>9540.6876921571766</v>
      </c>
      <c r="AI20" s="9">
        <f t="shared" si="50"/>
        <v>9445.2808152356047</v>
      </c>
      <c r="AJ20" s="9">
        <f t="shared" si="50"/>
        <v>9350.8280070832479</v>
      </c>
      <c r="AK20" s="9">
        <f t="shared" si="50"/>
        <v>9257.3197270124147</v>
      </c>
      <c r="AL20" s="9">
        <f t="shared" si="50"/>
        <v>9164.7465297422896</v>
      </c>
      <c r="AM20" s="9">
        <f t="shared" si="50"/>
        <v>9073.0990644448666</v>
      </c>
      <c r="AN20" s="9">
        <f t="shared" si="50"/>
        <v>8982.3680738004186</v>
      </c>
      <c r="AO20" s="9">
        <f t="shared" si="50"/>
        <v>8892.5443930624151</v>
      </c>
      <c r="AP20" s="9">
        <f t="shared" si="50"/>
        <v>8803.6189491317909</v>
      </c>
      <c r="AQ20" s="9">
        <f t="shared" si="50"/>
        <v>8715.5827596404724</v>
      </c>
      <c r="AR20" s="9">
        <f t="shared" si="50"/>
        <v>8628.4269320440671</v>
      </c>
      <c r="AS20" s="9">
        <f t="shared" si="50"/>
        <v>8542.1426627236269</v>
      </c>
      <c r="AT20" s="9">
        <f t="shared" si="50"/>
        <v>8456.7212360963913</v>
      </c>
      <c r="AU20" s="9">
        <f t="shared" si="50"/>
        <v>8372.1540237354275</v>
      </c>
      <c r="AV20" s="9">
        <f t="shared" si="50"/>
        <v>8288.4324834980725</v>
      </c>
      <c r="AW20" s="9">
        <f t="shared" si="50"/>
        <v>8205.5481586630922</v>
      </c>
      <c r="AX20" s="9">
        <f t="shared" si="50"/>
        <v>8123.4926770764614</v>
      </c>
      <c r="AY20" s="9">
        <f t="shared" si="50"/>
        <v>8042.2577503056964</v>
      </c>
      <c r="AZ20" s="9">
        <f t="shared" si="50"/>
        <v>7961.8351728026391</v>
      </c>
      <c r="BA20" s="9">
        <f t="shared" si="50"/>
        <v>7882.2168210746131</v>
      </c>
      <c r="BB20" s="9">
        <f t="shared" si="50"/>
        <v>7803.3946528638671</v>
      </c>
      <c r="BC20" s="9">
        <f t="shared" si="50"/>
        <v>7725.3607063352283</v>
      </c>
      <c r="BD20" s="9">
        <f t="shared" si="50"/>
        <v>7648.107099271876</v>
      </c>
      <c r="BE20" s="9">
        <f t="shared" si="50"/>
        <v>7571.6260282791573</v>
      </c>
      <c r="BF20" s="9">
        <f t="shared" si="50"/>
        <v>7495.9097679963652</v>
      </c>
      <c r="BG20" s="9">
        <f t="shared" si="50"/>
        <v>7420.9506703164016</v>
      </c>
      <c r="BH20" s="9">
        <f t="shared" si="50"/>
        <v>7346.7411636132374</v>
      </c>
      <c r="BI20" s="9">
        <f t="shared" si="50"/>
        <v>7273.2737519771053</v>
      </c>
      <c r="BJ20" s="9">
        <f t="shared" si="50"/>
        <v>7200.5410144573343</v>
      </c>
      <c r="BK20" s="9">
        <f t="shared" si="50"/>
        <v>7128.5356043127613</v>
      </c>
      <c r="BL20" s="9">
        <f t="shared" si="50"/>
        <v>7057.2502482696336</v>
      </c>
      <c r="BM20" s="9">
        <f t="shared" si="50"/>
        <v>6986.6777457869375</v>
      </c>
      <c r="BN20" s="9">
        <f t="shared" si="50"/>
        <v>6916.8109683290677</v>
      </c>
      <c r="BO20" s="9">
        <f t="shared" si="50"/>
        <v>6847.6428586457769</v>
      </c>
      <c r="BP20" s="9">
        <f t="shared" si="50"/>
        <v>6779.1664300593193</v>
      </c>
      <c r="BQ20" s="9">
        <f t="shared" si="50"/>
        <v>6711.3747657587264</v>
      </c>
      <c r="BR20" s="9">
        <f t="shared" si="50"/>
        <v>6644.2610181011387</v>
      </c>
      <c r="BS20" s="9">
        <f t="shared" si="50"/>
        <v>6577.8184079201274</v>
      </c>
      <c r="BT20" s="9">
        <f t="shared" si="50"/>
        <v>6512.040223840926</v>
      </c>
      <c r="BU20" s="9">
        <f t="shared" si="50"/>
        <v>6446.919821602517</v>
      </c>
      <c r="BV20" s="9">
        <f t="shared" si="50"/>
        <v>6382.4506233864922</v>
      </c>
      <c r="BW20" s="9">
        <f t="shared" si="50"/>
        <v>6318.6261171526276</v>
      </c>
      <c r="BX20" s="9">
        <f t="shared" si="50"/>
        <v>6255.4398559811016</v>
      </c>
      <c r="BY20" s="9">
        <f t="shared" si="50"/>
        <v>6192.8854574212901</v>
      </c>
      <c r="BZ20" s="9">
        <f t="shared" si="50"/>
        <v>6130.9566028470772</v>
      </c>
      <c r="CA20" s="9">
        <f t="shared" si="50"/>
        <v>6069.6470368186065</v>
      </c>
      <c r="CB20" s="9">
        <f t="shared" si="50"/>
        <v>6008.9505664504204</v>
      </c>
      <c r="CC20" s="9">
        <f t="shared" si="50"/>
        <v>5948.8610607859164</v>
      </c>
      <c r="CD20" s="9">
        <f t="shared" si="50"/>
        <v>5889.3724501780571</v>
      </c>
      <c r="CE20" s="9">
        <f t="shared" si="50"/>
        <v>5830.4787256762766</v>
      </c>
      <c r="CF20" s="9">
        <f t="shared" si="50"/>
        <v>5772.1739384195134</v>
      </c>
      <c r="CG20" s="9">
        <f t="shared" si="50"/>
        <v>5714.4521990353187</v>
      </c>
      <c r="CH20" s="9">
        <f t="shared" si="50"/>
        <v>5657.3076770449652</v>
      </c>
      <c r="CI20" s="9">
        <f t="shared" si="50"/>
        <v>5600.7346002745153</v>
      </c>
      <c r="CJ20" s="9">
        <f t="shared" ref="CJ20:CV20" si="51">CI20*(1+$Y$4)</f>
        <v>5544.7272542717701</v>
      </c>
      <c r="CK20" s="9">
        <f t="shared" si="51"/>
        <v>5489.2799817290525</v>
      </c>
      <c r="CL20" s="9">
        <f t="shared" si="51"/>
        <v>5434.3871819117621</v>
      </c>
      <c r="CM20" s="9">
        <f t="shared" si="51"/>
        <v>5380.0433100926448</v>
      </c>
      <c r="CN20" s="9">
        <f t="shared" si="51"/>
        <v>5326.2428769917187</v>
      </c>
      <c r="CO20" s="9">
        <f t="shared" si="51"/>
        <v>5272.9804482218015</v>
      </c>
      <c r="CP20" s="9">
        <f t="shared" si="51"/>
        <v>5220.2506437395832</v>
      </c>
      <c r="CQ20" s="9">
        <f t="shared" si="51"/>
        <v>5168.0481373021876</v>
      </c>
      <c r="CR20" s="9">
        <f t="shared" si="51"/>
        <v>5116.3676559291653</v>
      </c>
      <c r="CS20" s="9">
        <f t="shared" si="51"/>
        <v>5065.2039793698732</v>
      </c>
      <c r="CT20" s="9">
        <f t="shared" si="51"/>
        <v>5014.5519395761748</v>
      </c>
      <c r="CU20" s="9">
        <f t="shared" si="51"/>
        <v>4964.4064201804131</v>
      </c>
      <c r="CV20" s="9">
        <f t="shared" si="51"/>
        <v>4914.7623559786089</v>
      </c>
    </row>
    <row r="21" spans="1:100" x14ac:dyDescent="0.25">
      <c r="A21" t="s">
        <v>34</v>
      </c>
      <c r="B21" s="8"/>
      <c r="C21" s="8"/>
      <c r="D21" s="8"/>
      <c r="E21" s="8"/>
      <c r="F21" s="8"/>
      <c r="G21" s="8"/>
      <c r="H21" s="8"/>
      <c r="I21" s="8"/>
      <c r="J21" s="8"/>
      <c r="K21" s="8"/>
      <c r="L21" s="8"/>
      <c r="M21" s="8">
        <v>1180</v>
      </c>
      <c r="N21" s="8">
        <v>1147.9000000000001</v>
      </c>
      <c r="O21" s="8">
        <v>1142.5999999999999</v>
      </c>
      <c r="P21" s="8">
        <f>O21*0.99</f>
        <v>1131.174</v>
      </c>
      <c r="Q21" s="8">
        <f t="shared" ref="Q21:V21" si="52">P21*0.99</f>
        <v>1119.8622599999999</v>
      </c>
      <c r="R21" s="8">
        <f t="shared" si="52"/>
        <v>1108.6636374</v>
      </c>
      <c r="S21" s="8">
        <f t="shared" si="52"/>
        <v>1097.5770010260001</v>
      </c>
      <c r="T21" s="8">
        <f t="shared" si="52"/>
        <v>1086.60123101574</v>
      </c>
      <c r="U21" s="8">
        <f t="shared" si="52"/>
        <v>1075.7352187055826</v>
      </c>
      <c r="V21" s="8">
        <f t="shared" si="52"/>
        <v>1064.9778665185268</v>
      </c>
    </row>
    <row r="22" spans="1:100" x14ac:dyDescent="0.25">
      <c r="A22" s="2" t="s">
        <v>35</v>
      </c>
      <c r="M22" s="3">
        <f t="shared" ref="M22:N22" si="53">M20/M21</f>
        <v>3.5600847457627101</v>
      </c>
      <c r="N22" s="3">
        <f t="shared" si="53"/>
        <v>2.8603536893457635</v>
      </c>
      <c r="O22" s="3">
        <f>O20/O21</f>
        <v>3.6099247330649407</v>
      </c>
      <c r="P22" s="3">
        <f t="shared" ref="P22:V22" si="54">P20/P21</f>
        <v>4.2051682234563348</v>
      </c>
      <c r="Q22" s="3">
        <f t="shared" si="54"/>
        <v>4.9707008793652898</v>
      </c>
      <c r="R22" s="3">
        <f t="shared" si="54"/>
        <v>5.8519798002340035</v>
      </c>
      <c r="S22" s="3">
        <f t="shared" si="54"/>
        <v>6.7685848491801863</v>
      </c>
      <c r="T22" s="3">
        <f t="shared" si="54"/>
        <v>7.7525463263250831</v>
      </c>
      <c r="U22" s="3">
        <f t="shared" si="54"/>
        <v>8.8603244963782419</v>
      </c>
      <c r="V22" s="3">
        <f t="shared" si="54"/>
        <v>10.106871933091456</v>
      </c>
    </row>
    <row r="24" spans="1:100" x14ac:dyDescent="0.25">
      <c r="A24" t="s">
        <v>71</v>
      </c>
      <c r="M24" s="4"/>
      <c r="N24" s="4">
        <f>N3/M3-1</f>
        <v>8.0021944975007031E-2</v>
      </c>
      <c r="O24" s="4">
        <f t="shared" ref="O24:V24" si="55">O3/N3-1</f>
        <v>0.10860133729177712</v>
      </c>
      <c r="P24" s="4">
        <f t="shared" si="55"/>
        <v>8.0000000000000071E-2</v>
      </c>
      <c r="Q24" s="4">
        <f t="shared" si="55"/>
        <v>8.0000000000000071E-2</v>
      </c>
      <c r="R24" s="4">
        <f t="shared" si="55"/>
        <v>8.0000000000000071E-2</v>
      </c>
      <c r="S24" s="4">
        <f t="shared" si="55"/>
        <v>8.0000000000000071E-2</v>
      </c>
      <c r="T24" s="4">
        <f t="shared" si="55"/>
        <v>8.0000000000000071E-2</v>
      </c>
      <c r="U24" s="4">
        <f t="shared" si="55"/>
        <v>8.0000000000000071E-2</v>
      </c>
      <c r="V24" s="4">
        <f t="shared" si="55"/>
        <v>8.0000000000000071E-2</v>
      </c>
    </row>
    <row r="25" spans="1:100" x14ac:dyDescent="0.25">
      <c r="A25" t="s">
        <v>72</v>
      </c>
      <c r="M25" s="4"/>
      <c r="N25" s="4">
        <f>N4/M4-1</f>
        <v>0.36216276643314949</v>
      </c>
      <c r="O25" s="4">
        <f t="shared" ref="O25:V25" si="56">O4/N4-1</f>
        <v>0.23449596498427017</v>
      </c>
      <c r="P25" s="4">
        <f t="shared" si="56"/>
        <v>0.14999999999999991</v>
      </c>
      <c r="Q25" s="4">
        <f t="shared" si="56"/>
        <v>0.14999999999999991</v>
      </c>
      <c r="R25" s="4">
        <f t="shared" si="56"/>
        <v>0.14999999999999991</v>
      </c>
      <c r="S25" s="4">
        <f t="shared" si="56"/>
        <v>0.12999999999999989</v>
      </c>
      <c r="T25" s="4">
        <f t="shared" si="56"/>
        <v>0.12000000000000011</v>
      </c>
      <c r="U25" s="4">
        <f t="shared" si="56"/>
        <v>0.12000000000000011</v>
      </c>
      <c r="V25" s="4">
        <f t="shared" si="56"/>
        <v>0.12000000000000011</v>
      </c>
    </row>
    <row r="26" spans="1:100" x14ac:dyDescent="0.25">
      <c r="A26" t="s">
        <v>36</v>
      </c>
      <c r="M26" s="4"/>
      <c r="N26" s="4">
        <f>N6/M6-1</f>
        <v>0.10976029400631782</v>
      </c>
      <c r="O26" s="4">
        <f t="shared" ref="O26:V26" si="57">O6/N6-1</f>
        <v>0.11551210376337573</v>
      </c>
      <c r="P26" s="4">
        <f t="shared" si="57"/>
        <v>8.4887951834020647E-2</v>
      </c>
      <c r="Q26" s="4">
        <f t="shared" si="57"/>
        <v>8.5683648481744479E-2</v>
      </c>
      <c r="R26" s="4">
        <f t="shared" si="57"/>
        <v>8.6487667082747466E-2</v>
      </c>
      <c r="S26" s="4">
        <f t="shared" si="57"/>
        <v>8.4319803641933477E-2</v>
      </c>
      <c r="T26" s="4">
        <f t="shared" si="57"/>
        <v>8.3295058009237311E-2</v>
      </c>
      <c r="U26" s="4">
        <f t="shared" si="57"/>
        <v>8.3703126005920669E-2</v>
      </c>
      <c r="V26" s="4">
        <f t="shared" si="57"/>
        <v>8.4103418952807818E-2</v>
      </c>
    </row>
    <row r="27" spans="1:100" x14ac:dyDescent="0.25">
      <c r="A27" t="s">
        <v>37</v>
      </c>
      <c r="M27" s="4">
        <f t="shared" ref="M27:N27" si="58">M15/M6</f>
        <v>0.154394609884173</v>
      </c>
      <c r="N27" s="4">
        <f t="shared" si="58"/>
        <v>0.13592741772944755</v>
      </c>
      <c r="O27" s="4">
        <f>O15/O6</f>
        <v>0.15235604131689257</v>
      </c>
      <c r="P27" s="4">
        <f t="shared" ref="P27:V27" si="59">P15/P6</f>
        <v>0.1629613321924866</v>
      </c>
      <c r="Q27" s="4">
        <f t="shared" si="59"/>
        <v>0.1744900588539875</v>
      </c>
      <c r="R27" s="4">
        <f t="shared" si="59"/>
        <v>0.18615874375707656</v>
      </c>
      <c r="S27" s="4">
        <f t="shared" si="59"/>
        <v>0.19576274659546469</v>
      </c>
      <c r="T27" s="4">
        <f t="shared" si="59"/>
        <v>0.20421348386045551</v>
      </c>
      <c r="U27" s="4">
        <f t="shared" si="59"/>
        <v>0.21259112227573512</v>
      </c>
      <c r="V27" s="4">
        <f t="shared" si="59"/>
        <v>0.22089460843187064</v>
      </c>
    </row>
    <row r="28" spans="1:100" x14ac:dyDescent="0.25">
      <c r="A28" t="s">
        <v>38</v>
      </c>
      <c r="M28" s="4">
        <f t="shared" ref="M28:N28" si="60">M20/M6</f>
        <v>0.1445565473527731</v>
      </c>
      <c r="N28" s="4">
        <f t="shared" si="60"/>
        <v>0.10180990564428866</v>
      </c>
      <c r="O28" s="4">
        <f>O20/O6</f>
        <v>0.11465270905836181</v>
      </c>
      <c r="P28" s="4">
        <f t="shared" ref="P28:V28" si="61">P20/P6</f>
        <v>0.12187646701552239</v>
      </c>
      <c r="Q28" s="4">
        <f t="shared" si="61"/>
        <v>0.13136691751714422</v>
      </c>
      <c r="R28" s="4">
        <f t="shared" si="61"/>
        <v>0.14092290655568313</v>
      </c>
      <c r="S28" s="4">
        <f t="shared" si="61"/>
        <v>0.14881765472974331</v>
      </c>
      <c r="T28" s="4">
        <f t="shared" si="61"/>
        <v>0.15577199476385001</v>
      </c>
      <c r="U28" s="4">
        <f t="shared" si="61"/>
        <v>0.16263705715067653</v>
      </c>
      <c r="V28" s="4">
        <f t="shared" si="61"/>
        <v>0.16941471243759459</v>
      </c>
    </row>
    <row r="30" spans="1:100" x14ac:dyDescent="0.25">
      <c r="A30" t="s">
        <v>39</v>
      </c>
      <c r="M30">
        <v>5989.1</v>
      </c>
      <c r="N30">
        <v>4397.3</v>
      </c>
      <c r="O30">
        <v>6008.7</v>
      </c>
    </row>
    <row r="31" spans="1:100" x14ac:dyDescent="0.25">
      <c r="A31" t="s">
        <v>40</v>
      </c>
      <c r="M31">
        <v>1470</v>
      </c>
      <c r="N31">
        <v>1841.3</v>
      </c>
      <c r="O31">
        <v>2333.6</v>
      </c>
    </row>
    <row r="32" spans="1:100" s="2" customFormat="1" x14ac:dyDescent="0.25">
      <c r="A32" s="2" t="s">
        <v>41</v>
      </c>
      <c r="M32" s="2">
        <f t="shared" ref="M32:N32" si="62">M30-M31</f>
        <v>4519.1000000000004</v>
      </c>
      <c r="N32" s="2">
        <f t="shared" si="62"/>
        <v>2556</v>
      </c>
      <c r="O32" s="2">
        <f>O30-O31</f>
        <v>3675.1</v>
      </c>
      <c r="P32" s="2">
        <f t="shared" ref="P32:V32" si="63">P30-P31</f>
        <v>0</v>
      </c>
      <c r="Q32" s="2">
        <f t="shared" si="63"/>
        <v>0</v>
      </c>
      <c r="R32" s="2">
        <f t="shared" si="63"/>
        <v>0</v>
      </c>
      <c r="S32" s="2">
        <f t="shared" si="63"/>
        <v>0</v>
      </c>
      <c r="T32" s="2">
        <f t="shared" si="63"/>
        <v>0</v>
      </c>
      <c r="U32" s="2">
        <f t="shared" si="63"/>
        <v>0</v>
      </c>
      <c r="V32" s="2">
        <f t="shared" si="63"/>
        <v>0</v>
      </c>
    </row>
    <row r="34" spans="1:9" x14ac:dyDescent="0.25">
      <c r="A34" t="s">
        <v>69</v>
      </c>
      <c r="I34">
        <f>Sheet1!B5-Sheet1!B6</f>
        <v>-11446.7</v>
      </c>
    </row>
    <row r="36" spans="1:9" x14ac:dyDescent="0.25">
      <c r="A36" t="s">
        <v>42</v>
      </c>
    </row>
    <row r="37" spans="1:9" x14ac:dyDescent="0.25">
      <c r="A37" t="s">
        <v>43</v>
      </c>
      <c r="I37">
        <f>3551.5+401.5</f>
        <v>3953</v>
      </c>
    </row>
    <row r="38" spans="1:9" x14ac:dyDescent="0.25">
      <c r="A38" t="s">
        <v>44</v>
      </c>
      <c r="I38">
        <v>1184.0999999999999</v>
      </c>
    </row>
    <row r="39" spans="1:9" x14ac:dyDescent="0.25">
      <c r="A39" t="s">
        <v>45</v>
      </c>
      <c r="I39">
        <v>1806.4</v>
      </c>
    </row>
    <row r="40" spans="1:9" x14ac:dyDescent="0.25">
      <c r="A40" t="s">
        <v>46</v>
      </c>
      <c r="I40">
        <v>359.9</v>
      </c>
    </row>
    <row r="41" spans="1:9" x14ac:dyDescent="0.25">
      <c r="A41" t="s">
        <v>47</v>
      </c>
      <c r="I41">
        <v>247.4</v>
      </c>
    </row>
    <row r="42" spans="1:9" x14ac:dyDescent="0.25">
      <c r="A42" t="s">
        <v>48</v>
      </c>
      <c r="I42">
        <v>439.9</v>
      </c>
    </row>
    <row r="43" spans="1:9" x14ac:dyDescent="0.25">
      <c r="A43" t="s">
        <v>49</v>
      </c>
      <c r="I43">
        <v>7387.1</v>
      </c>
    </row>
    <row r="44" spans="1:9" x14ac:dyDescent="0.25">
      <c r="A44" t="s">
        <v>50</v>
      </c>
      <c r="I44">
        <v>8412.6</v>
      </c>
    </row>
    <row r="45" spans="1:9" x14ac:dyDescent="0.25">
      <c r="A45" t="s">
        <v>51</v>
      </c>
      <c r="I45">
        <v>1769.8</v>
      </c>
    </row>
    <row r="46" spans="1:9" x14ac:dyDescent="0.25">
      <c r="A46" t="s">
        <v>52</v>
      </c>
      <c r="I46">
        <f>120.5+3218.3</f>
        <v>3338.8</v>
      </c>
    </row>
    <row r="47" spans="1:9" x14ac:dyDescent="0.25">
      <c r="A47" t="s">
        <v>53</v>
      </c>
      <c r="I47">
        <v>546.5</v>
      </c>
    </row>
    <row r="48" spans="1:9" x14ac:dyDescent="0.25">
      <c r="A48" s="2" t="s">
        <v>54</v>
      </c>
      <c r="B48" s="2"/>
      <c r="C48" s="2"/>
      <c r="D48" s="2"/>
      <c r="E48" s="2"/>
      <c r="F48" s="2"/>
      <c r="G48" s="2"/>
      <c r="H48" s="2"/>
      <c r="I48" s="2">
        <f>SUM(I37:I47)</f>
        <v>29445.5</v>
      </c>
    </row>
    <row r="50" spans="1:9" x14ac:dyDescent="0.25">
      <c r="A50" t="s">
        <v>55</v>
      </c>
      <c r="I50">
        <v>1544.3</v>
      </c>
    </row>
    <row r="51" spans="1:9" x14ac:dyDescent="0.25">
      <c r="A51" t="s">
        <v>56</v>
      </c>
      <c r="I51">
        <v>2145.1</v>
      </c>
    </row>
    <row r="52" spans="1:9" x14ac:dyDescent="0.25">
      <c r="A52" t="s">
        <v>57</v>
      </c>
      <c r="I52">
        <v>828.3</v>
      </c>
    </row>
    <row r="53" spans="1:9" x14ac:dyDescent="0.25">
      <c r="A53" t="s">
        <v>50</v>
      </c>
      <c r="I53">
        <f>1275.3+7924.8</f>
        <v>9200.1</v>
      </c>
    </row>
    <row r="54" spans="1:9" x14ac:dyDescent="0.25">
      <c r="A54" t="s">
        <v>58</v>
      </c>
      <c r="I54">
        <f>1700.2+6101.8</f>
        <v>7802</v>
      </c>
    </row>
    <row r="55" spans="1:9" x14ac:dyDescent="0.25">
      <c r="A55" t="s">
        <v>61</v>
      </c>
      <c r="I55">
        <f>33.5+1818.6+13547.6</f>
        <v>15399.7</v>
      </c>
    </row>
    <row r="56" spans="1:9" x14ac:dyDescent="0.25">
      <c r="A56" t="s">
        <v>60</v>
      </c>
      <c r="I56">
        <v>513.79999999999995</v>
      </c>
    </row>
    <row r="57" spans="1:9" x14ac:dyDescent="0.25">
      <c r="A57" s="2" t="s">
        <v>63</v>
      </c>
      <c r="B57" s="2"/>
      <c r="C57" s="2"/>
      <c r="D57" s="2"/>
      <c r="E57" s="2"/>
      <c r="F57" s="2"/>
      <c r="G57" s="2"/>
      <c r="H57" s="2"/>
      <c r="I57" s="2">
        <f>SUM(I50:I56)</f>
        <v>37433.300000000003</v>
      </c>
    </row>
    <row r="59" spans="1:9" x14ac:dyDescent="0.25">
      <c r="A59" s="2" t="s">
        <v>62</v>
      </c>
      <c r="B59" s="2"/>
      <c r="C59" s="2"/>
      <c r="D59" s="2"/>
      <c r="E59" s="2"/>
      <c r="F59" s="2"/>
      <c r="G59" s="2"/>
      <c r="H59" s="2"/>
      <c r="I59" s="2">
        <f>I48-I57</f>
        <v>-7987.8000000000029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alexandreduartemorais@gmail.com</cp:lastModifiedBy>
  <dcterms:created xsi:type="dcterms:W3CDTF">2023-12-22T12:42:53Z</dcterms:created>
  <dcterms:modified xsi:type="dcterms:W3CDTF">2024-08-19T17:27:06Z</dcterms:modified>
</cp:coreProperties>
</file>