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586" documentId="8_{00A7D708-5C4E-43A9-8155-E53E8EA89BB5}" xr6:coauthVersionLast="47" xr6:coauthVersionMax="47" xr10:uidLastSave="{E105192E-8B07-4BAB-8C5B-BA6DC187FAB2}"/>
  <bookViews>
    <workbookView xWindow="-120" yWindow="-120" windowWidth="29040" windowHeight="15720" activeTab="1" xr2:uid="{49BC0D4F-469E-4DD1-83F4-05BD8244BBD2}"/>
  </bookViews>
  <sheets>
    <sheet name="main" sheetId="1" r:id="rId1"/>
    <sheet name="model" sheetId="2" r:id="rId2"/>
    <sheet name="Graph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3" l="1"/>
  <c r="G11" i="3"/>
  <c r="F11" i="3"/>
  <c r="E11" i="3"/>
  <c r="D11" i="3"/>
  <c r="C11" i="3"/>
  <c r="B11" i="3"/>
  <c r="J22" i="2"/>
  <c r="O22" i="2" s="1"/>
  <c r="P22" i="2" s="1"/>
  <c r="Q22" i="2" s="1"/>
  <c r="R22" i="2" s="1"/>
  <c r="S22" i="2" s="1"/>
  <c r="T22" i="2" s="1"/>
  <c r="U22" i="2" s="1"/>
  <c r="V22" i="2" s="1"/>
  <c r="J21" i="2"/>
  <c r="O21" i="2" s="1"/>
  <c r="P21" i="2" s="1"/>
  <c r="Q21" i="2" s="1"/>
  <c r="R21" i="2" s="1"/>
  <c r="S21" i="2" s="1"/>
  <c r="T21" i="2" s="1"/>
  <c r="U21" i="2" s="1"/>
  <c r="V21" i="2" s="1"/>
  <c r="J18" i="2"/>
  <c r="O18" i="2" s="1"/>
  <c r="P18" i="2" s="1"/>
  <c r="Q18" i="2" s="1"/>
  <c r="R18" i="2" s="1"/>
  <c r="S18" i="2" s="1"/>
  <c r="T18" i="2" s="1"/>
  <c r="U18" i="2" s="1"/>
  <c r="V18" i="2" s="1"/>
  <c r="J17" i="2"/>
  <c r="O17" i="2" s="1"/>
  <c r="P17" i="2" s="1"/>
  <c r="Q17" i="2" s="1"/>
  <c r="R17" i="2" s="1"/>
  <c r="S17" i="2" s="1"/>
  <c r="T17" i="2" s="1"/>
  <c r="U17" i="2" s="1"/>
  <c r="V17" i="2" s="1"/>
  <c r="J16" i="2"/>
  <c r="O16" i="2" s="1"/>
  <c r="P16" i="2" s="1"/>
  <c r="Q16" i="2" s="1"/>
  <c r="R16" i="2" s="1"/>
  <c r="S16" i="2" s="1"/>
  <c r="T16" i="2" s="1"/>
  <c r="U16" i="2" s="1"/>
  <c r="V16" i="2" s="1"/>
  <c r="J15" i="2"/>
  <c r="O15" i="2" s="1"/>
  <c r="P15" i="2" s="1"/>
  <c r="Q15" i="2" s="1"/>
  <c r="R15" i="2" s="1"/>
  <c r="S15" i="2" s="1"/>
  <c r="T15" i="2" s="1"/>
  <c r="U15" i="2" s="1"/>
  <c r="V15" i="2" s="1"/>
  <c r="J14" i="2"/>
  <c r="O14" i="2" s="1"/>
  <c r="J9" i="2"/>
  <c r="O9" i="2" s="1"/>
  <c r="P9" i="2" s="1"/>
  <c r="Q9" i="2" s="1"/>
  <c r="R9" i="2" s="1"/>
  <c r="S9" i="2" s="1"/>
  <c r="T9" i="2" s="1"/>
  <c r="U9" i="2" s="1"/>
  <c r="V9" i="2" s="1"/>
  <c r="J8" i="2"/>
  <c r="O8" i="2" s="1"/>
  <c r="P8" i="2" s="1"/>
  <c r="Q8" i="2" s="1"/>
  <c r="R8" i="2" s="1"/>
  <c r="S8" i="2" s="1"/>
  <c r="T8" i="2" s="1"/>
  <c r="U8" i="2" s="1"/>
  <c r="V8" i="2" s="1"/>
  <c r="J7" i="2"/>
  <c r="J5" i="2"/>
  <c r="J31" i="2" s="1"/>
  <c r="J4" i="2"/>
  <c r="O4" i="2" s="1"/>
  <c r="P4" i="2" s="1"/>
  <c r="Q4" i="2" s="1"/>
  <c r="R4" i="2" s="1"/>
  <c r="S4" i="2" s="1"/>
  <c r="T4" i="2" s="1"/>
  <c r="U4" i="2" s="1"/>
  <c r="V4" i="2" s="1"/>
  <c r="J3" i="2"/>
  <c r="O3" i="2" s="1"/>
  <c r="P3" i="2" s="1"/>
  <c r="N46" i="2"/>
  <c r="Y6" i="2" s="1"/>
  <c r="M46" i="2"/>
  <c r="N31" i="2"/>
  <c r="N30" i="2"/>
  <c r="N29" i="2"/>
  <c r="N10" i="2"/>
  <c r="M10" i="2"/>
  <c r="N2" i="2"/>
  <c r="O2" i="2" s="1"/>
  <c r="P2" i="2" s="1"/>
  <c r="Q2" i="2" s="1"/>
  <c r="R2" i="2" s="1"/>
  <c r="S2" i="2" s="1"/>
  <c r="T2" i="2" s="1"/>
  <c r="U2" i="2" s="1"/>
  <c r="V2" i="2" s="1"/>
  <c r="N19" i="2"/>
  <c r="N12" i="2"/>
  <c r="N34" i="2" s="1"/>
  <c r="N11" i="2"/>
  <c r="N33" i="2" s="1"/>
  <c r="N6" i="2"/>
  <c r="M19" i="2"/>
  <c r="M12" i="2"/>
  <c r="M34" i="2" s="1"/>
  <c r="M11" i="2"/>
  <c r="M33" i="2" s="1"/>
  <c r="M6" i="2"/>
  <c r="H31" i="2"/>
  <c r="G31" i="2"/>
  <c r="H30" i="2"/>
  <c r="G30" i="2"/>
  <c r="H29" i="2"/>
  <c r="G29" i="2"/>
  <c r="I31" i="2"/>
  <c r="I30" i="2"/>
  <c r="I29" i="2"/>
  <c r="H19" i="2"/>
  <c r="G19" i="2"/>
  <c r="F19" i="2"/>
  <c r="E19" i="2"/>
  <c r="D19" i="2"/>
  <c r="C19" i="2"/>
  <c r="I19" i="2"/>
  <c r="H12" i="2"/>
  <c r="H34" i="2" s="1"/>
  <c r="G12" i="2"/>
  <c r="G34" i="2" s="1"/>
  <c r="F12" i="2"/>
  <c r="F34" i="2" s="1"/>
  <c r="E12" i="2"/>
  <c r="E34" i="2" s="1"/>
  <c r="D12" i="2"/>
  <c r="D34" i="2" s="1"/>
  <c r="C12" i="2"/>
  <c r="C34" i="2" s="1"/>
  <c r="H11" i="2"/>
  <c r="H33" i="2" s="1"/>
  <c r="G11" i="2"/>
  <c r="G33" i="2" s="1"/>
  <c r="F11" i="2"/>
  <c r="F33" i="2" s="1"/>
  <c r="E11" i="2"/>
  <c r="E33" i="2" s="1"/>
  <c r="D11" i="2"/>
  <c r="D33" i="2" s="1"/>
  <c r="C11" i="2"/>
  <c r="C33" i="2" s="1"/>
  <c r="H10" i="2"/>
  <c r="G10" i="2"/>
  <c r="F10" i="2"/>
  <c r="E10" i="2"/>
  <c r="E32" i="2" s="1"/>
  <c r="D10" i="2"/>
  <c r="D32" i="2" s="1"/>
  <c r="C10" i="2"/>
  <c r="I12" i="2"/>
  <c r="I34" i="2" s="1"/>
  <c r="I11" i="2"/>
  <c r="I33" i="2" s="1"/>
  <c r="I10" i="2"/>
  <c r="H6" i="2"/>
  <c r="G6" i="2"/>
  <c r="F6" i="2"/>
  <c r="E6" i="2"/>
  <c r="D6" i="2"/>
  <c r="C6" i="2"/>
  <c r="I6" i="2"/>
  <c r="B2" i="1" a="1"/>
  <c r="B2" i="1" s="1"/>
  <c r="B4" i="1" s="1"/>
  <c r="B7" i="1" s="1"/>
  <c r="J29" i="2" l="1"/>
  <c r="J10" i="2"/>
  <c r="N28" i="2"/>
  <c r="Q3" i="2"/>
  <c r="R3" i="2" s="1"/>
  <c r="S3" i="2" s="1"/>
  <c r="T3" i="2" s="1"/>
  <c r="U3" i="2" s="1"/>
  <c r="V3" i="2" s="1"/>
  <c r="O19" i="2"/>
  <c r="P14" i="2"/>
  <c r="Q14" i="2" s="1"/>
  <c r="R14" i="2" s="1"/>
  <c r="J6" i="2"/>
  <c r="J28" i="2" s="1"/>
  <c r="O7" i="2"/>
  <c r="P7" i="2" s="1"/>
  <c r="Q7" i="2" s="1"/>
  <c r="R7" i="2" s="1"/>
  <c r="S7" i="2" s="1"/>
  <c r="T7" i="2" s="1"/>
  <c r="U7" i="2" s="1"/>
  <c r="V7" i="2" s="1"/>
  <c r="O5" i="2"/>
  <c r="P5" i="2" s="1"/>
  <c r="Q5" i="2" s="1"/>
  <c r="Q12" i="2" s="1"/>
  <c r="Q34" i="2" s="1"/>
  <c r="J11" i="2"/>
  <c r="J33" i="2" s="1"/>
  <c r="J12" i="2"/>
  <c r="J34" i="2" s="1"/>
  <c r="J30" i="2"/>
  <c r="T30" i="2"/>
  <c r="Q30" i="2"/>
  <c r="Q19" i="2"/>
  <c r="P19" i="2"/>
  <c r="V11" i="2"/>
  <c r="V33" i="2" s="1"/>
  <c r="Q11" i="2"/>
  <c r="Q33" i="2" s="1"/>
  <c r="P11" i="2"/>
  <c r="P33" i="2" s="1"/>
  <c r="T11" i="2"/>
  <c r="T33" i="2" s="1"/>
  <c r="V30" i="2"/>
  <c r="U30" i="2"/>
  <c r="R11" i="2"/>
  <c r="R33" i="2" s="1"/>
  <c r="S30" i="2"/>
  <c r="R30" i="2"/>
  <c r="P29" i="2"/>
  <c r="O11" i="2"/>
  <c r="O33" i="2" s="1"/>
  <c r="P30" i="2"/>
  <c r="O30" i="2"/>
  <c r="O29" i="2"/>
  <c r="J19" i="2"/>
  <c r="J32" i="2"/>
  <c r="N13" i="2"/>
  <c r="N35" i="2" s="1"/>
  <c r="M13" i="2"/>
  <c r="M20" i="2" s="1"/>
  <c r="N32" i="2"/>
  <c r="M32" i="2"/>
  <c r="G28" i="2"/>
  <c r="H28" i="2"/>
  <c r="I13" i="2"/>
  <c r="I35" i="2" s="1"/>
  <c r="C13" i="2"/>
  <c r="C35" i="2" s="1"/>
  <c r="I28" i="2"/>
  <c r="F13" i="2"/>
  <c r="G13" i="2"/>
  <c r="G35" i="2" s="1"/>
  <c r="G32" i="2"/>
  <c r="H13" i="2"/>
  <c r="H35" i="2" s="1"/>
  <c r="I32" i="2"/>
  <c r="H32" i="2"/>
  <c r="D13" i="2"/>
  <c r="F32" i="2"/>
  <c r="C32" i="2"/>
  <c r="E13" i="2"/>
  <c r="N20" i="2" l="1"/>
  <c r="N36" i="2" s="1"/>
  <c r="Q29" i="2"/>
  <c r="J13" i="2"/>
  <c r="J35" i="2" s="1"/>
  <c r="O10" i="2"/>
  <c r="O32" i="2" s="1"/>
  <c r="Q31" i="2"/>
  <c r="O31" i="2"/>
  <c r="P6" i="2"/>
  <c r="P12" i="2"/>
  <c r="P34" i="2" s="1"/>
  <c r="P31" i="2"/>
  <c r="R5" i="2"/>
  <c r="R31" i="2" s="1"/>
  <c r="O6" i="2"/>
  <c r="O28" i="2" s="1"/>
  <c r="O12" i="2"/>
  <c r="O34" i="2" s="1"/>
  <c r="P10" i="2"/>
  <c r="P32" i="2" s="1"/>
  <c r="S14" i="2"/>
  <c r="R19" i="2"/>
  <c r="U11" i="2"/>
  <c r="U33" i="2" s="1"/>
  <c r="S11" i="2"/>
  <c r="S33" i="2" s="1"/>
  <c r="Q6" i="2"/>
  <c r="Q10" i="2"/>
  <c r="R10" i="2"/>
  <c r="R29" i="2"/>
  <c r="M35" i="2"/>
  <c r="M36" i="2"/>
  <c r="M23" i="2"/>
  <c r="M25" i="2" s="1"/>
  <c r="I20" i="2"/>
  <c r="I23" i="2" s="1"/>
  <c r="I25" i="2" s="1"/>
  <c r="C20" i="2"/>
  <c r="C36" i="2" s="1"/>
  <c r="G20" i="2"/>
  <c r="F20" i="2"/>
  <c r="F35" i="2"/>
  <c r="H20" i="2"/>
  <c r="E20" i="2"/>
  <c r="E35" i="2"/>
  <c r="D20" i="2"/>
  <c r="D35" i="2"/>
  <c r="N23" i="2" l="1"/>
  <c r="N25" i="2" s="1"/>
  <c r="S5" i="2"/>
  <c r="R6" i="2"/>
  <c r="R28" i="2" s="1"/>
  <c r="R12" i="2"/>
  <c r="R34" i="2" s="1"/>
  <c r="J20" i="2"/>
  <c r="J23" i="2" s="1"/>
  <c r="P28" i="2"/>
  <c r="O13" i="2"/>
  <c r="O20" i="2" s="1"/>
  <c r="O36" i="2" s="1"/>
  <c r="J24" i="2"/>
  <c r="O24" i="2" s="1"/>
  <c r="Q28" i="2"/>
  <c r="P13" i="2"/>
  <c r="P35" i="2" s="1"/>
  <c r="T14" i="2"/>
  <c r="S19" i="2"/>
  <c r="T5" i="2"/>
  <c r="S31" i="2"/>
  <c r="S12" i="2"/>
  <c r="S34" i="2" s="1"/>
  <c r="Q32" i="2"/>
  <c r="Q13" i="2"/>
  <c r="S29" i="2"/>
  <c r="S6" i="2"/>
  <c r="S10" i="2"/>
  <c r="R32" i="2"/>
  <c r="J36" i="2"/>
  <c r="I36" i="2"/>
  <c r="C23" i="2"/>
  <c r="C25" i="2" s="1"/>
  <c r="G23" i="2"/>
  <c r="G25" i="2" s="1"/>
  <c r="G36" i="2"/>
  <c r="E23" i="2"/>
  <c r="E25" i="2" s="1"/>
  <c r="E36" i="2"/>
  <c r="D23" i="2"/>
  <c r="D25" i="2" s="1"/>
  <c r="D36" i="2"/>
  <c r="H23" i="2"/>
  <c r="H25" i="2" s="1"/>
  <c r="H36" i="2"/>
  <c r="F23" i="2"/>
  <c r="F25" i="2" s="1"/>
  <c r="F36" i="2"/>
  <c r="R13" i="2" l="1"/>
  <c r="R35" i="2" s="1"/>
  <c r="J25" i="2"/>
  <c r="P20" i="2"/>
  <c r="P36" i="2" s="1"/>
  <c r="S28" i="2"/>
  <c r="O23" i="2"/>
  <c r="O25" i="2" s="1"/>
  <c r="O35" i="2"/>
  <c r="U14" i="2"/>
  <c r="T19" i="2"/>
  <c r="T31" i="2"/>
  <c r="U5" i="2"/>
  <c r="T12" i="2"/>
  <c r="T34" i="2" s="1"/>
  <c r="Q35" i="2"/>
  <c r="Q20" i="2"/>
  <c r="T29" i="2"/>
  <c r="T6" i="2"/>
  <c r="T28" i="2" s="1"/>
  <c r="T10" i="2"/>
  <c r="S32" i="2"/>
  <c r="S13" i="2"/>
  <c r="R20" i="2" l="1"/>
  <c r="R36" i="2" s="1"/>
  <c r="P23" i="2"/>
  <c r="P24" i="2" s="1"/>
  <c r="P25" i="2" s="1"/>
  <c r="V14" i="2"/>
  <c r="V19" i="2" s="1"/>
  <c r="U19" i="2"/>
  <c r="V5" i="2"/>
  <c r="U31" i="2"/>
  <c r="U12" i="2"/>
  <c r="U34" i="2" s="1"/>
  <c r="Q36" i="2"/>
  <c r="Q23" i="2"/>
  <c r="S20" i="2"/>
  <c r="S35" i="2"/>
  <c r="T13" i="2"/>
  <c r="T32" i="2"/>
  <c r="U29" i="2"/>
  <c r="U6" i="2"/>
  <c r="U28" i="2" s="1"/>
  <c r="U10" i="2"/>
  <c r="R23" i="2" l="1"/>
  <c r="U13" i="2"/>
  <c r="U35" i="2" s="1"/>
  <c r="U32" i="2"/>
  <c r="R24" i="2"/>
  <c r="R25" i="2" s="1"/>
  <c r="Q24" i="2"/>
  <c r="Q25" i="2" s="1"/>
  <c r="V12" i="2"/>
  <c r="V34" i="2" s="1"/>
  <c r="V31" i="2"/>
  <c r="T35" i="2"/>
  <c r="T20" i="2"/>
  <c r="S23" i="2"/>
  <c r="S36" i="2"/>
  <c r="V29" i="2"/>
  <c r="V10" i="2"/>
  <c r="V32" i="2" s="1"/>
  <c r="V6" i="2"/>
  <c r="V28" i="2" s="1"/>
  <c r="U20" i="2" l="1"/>
  <c r="U36" i="2" s="1"/>
  <c r="S24" i="2"/>
  <c r="S25" i="2" s="1"/>
  <c r="V13" i="2"/>
  <c r="T36" i="2"/>
  <c r="T23" i="2"/>
  <c r="U23" i="2" l="1"/>
  <c r="U24" i="2" s="1"/>
  <c r="U25" i="2" s="1"/>
  <c r="T24" i="2"/>
  <c r="T25" i="2" s="1"/>
  <c r="V20" i="2"/>
  <c r="V35" i="2"/>
  <c r="V23" i="2" l="1"/>
  <c r="V36" i="2"/>
  <c r="V24" i="2" l="1"/>
  <c r="V25" i="2" s="1"/>
  <c r="W25" i="2" s="1"/>
  <c r="X25" i="2" s="1"/>
  <c r="Y25" i="2" s="1"/>
  <c r="Z25" i="2" s="1"/>
  <c r="AA25" i="2" s="1"/>
  <c r="AB25" i="2" s="1"/>
  <c r="AC25" i="2" s="1"/>
  <c r="AD25" i="2" s="1"/>
  <c r="AE25" i="2" s="1"/>
  <c r="AF25" i="2" s="1"/>
  <c r="AG25" i="2" s="1"/>
  <c r="AH25" i="2" s="1"/>
  <c r="AI25" i="2" s="1"/>
  <c r="AJ25" i="2" s="1"/>
  <c r="AK25" i="2" s="1"/>
  <c r="AL25" i="2" s="1"/>
  <c r="AM25" i="2" s="1"/>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Y5" i="2" s="1"/>
  <c r="Y7" i="2" s="1"/>
  <c r="Y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<sst xmlns="http://schemas.openxmlformats.org/spreadsheetml/2006/main" count="87" uniqueCount="66">
  <si>
    <t>ticket</t>
  </si>
  <si>
    <t>price</t>
  </si>
  <si>
    <t>shares</t>
  </si>
  <si>
    <t>mc</t>
  </si>
  <si>
    <t>cash</t>
  </si>
  <si>
    <t>debt</t>
  </si>
  <si>
    <t>ev</t>
  </si>
  <si>
    <t>CEO : we will prioritize investing in the business to increase our market share and further strengthen our market leadership</t>
  </si>
  <si>
    <t>Q1 2022</t>
  </si>
  <si>
    <t>Q2 2022</t>
  </si>
  <si>
    <t>Q3 2022</t>
  </si>
  <si>
    <t>Q4 2022</t>
  </si>
  <si>
    <t>Q1 2023</t>
  </si>
  <si>
    <t>Q2 2023</t>
  </si>
  <si>
    <t>Q3 2023</t>
  </si>
  <si>
    <t>Q4 2023</t>
  </si>
  <si>
    <t>Digital Entertainment</t>
  </si>
  <si>
    <t>E-commerce</t>
  </si>
  <si>
    <t>Sales of Goods</t>
  </si>
  <si>
    <t>Total Revenue</t>
  </si>
  <si>
    <t>usd</t>
  </si>
  <si>
    <t>COGS Digital Entertainment</t>
  </si>
  <si>
    <t>COGS E-commerce</t>
  </si>
  <si>
    <t>COGS Sales of Goods</t>
  </si>
  <si>
    <t>Gross Profit Digital Entertainment</t>
  </si>
  <si>
    <t>Gross Profit E-commerce</t>
  </si>
  <si>
    <t>Gross Profit Sales of Goods</t>
  </si>
  <si>
    <t>Total Gross Profit</t>
  </si>
  <si>
    <t>Other Operating Income</t>
  </si>
  <si>
    <t>S&amp;M</t>
  </si>
  <si>
    <t>G&amp;A</t>
  </si>
  <si>
    <t>Provision for credit losses</t>
  </si>
  <si>
    <t>R&amp;D</t>
  </si>
  <si>
    <t>Total Opex</t>
  </si>
  <si>
    <t>Operating Income</t>
  </si>
  <si>
    <t>Net Interest</t>
  </si>
  <si>
    <t>Equity Investments</t>
  </si>
  <si>
    <t>Pretax Income</t>
  </si>
  <si>
    <t>Taxes</t>
  </si>
  <si>
    <t>Net Income</t>
  </si>
  <si>
    <t>Revenue Y/Y</t>
  </si>
  <si>
    <t>Gross Margin Digital Entertainment</t>
  </si>
  <si>
    <t>Gross Margin E-commerce</t>
  </si>
  <si>
    <t>Gross Margin Sales of Goods</t>
  </si>
  <si>
    <t>Revenue Digital Entertainment</t>
  </si>
  <si>
    <t>Revenue E-commerce</t>
  </si>
  <si>
    <t>Revenue Sales of Goods</t>
  </si>
  <si>
    <t>Gross Margin</t>
  </si>
  <si>
    <t>Operating Margin</t>
  </si>
  <si>
    <t>Shares</t>
  </si>
  <si>
    <t>CFFO</t>
  </si>
  <si>
    <t>net cash</t>
  </si>
  <si>
    <t>npv</t>
  </si>
  <si>
    <t>discount</t>
  </si>
  <si>
    <t>maturity</t>
  </si>
  <si>
    <t>SeaMoney is a leading digital payments and financial services provider in Southeast Asia.</t>
  </si>
  <si>
    <t>Shopee is the leading e-commerce platform in Southeast Asia and Taiwan.</t>
  </si>
  <si>
    <t>GMV</t>
  </si>
  <si>
    <t>Orders</t>
  </si>
  <si>
    <t>Quarterly Active users- Garena</t>
  </si>
  <si>
    <t>Quarterly paying user ratio</t>
  </si>
  <si>
    <t>Garena Digital Entertainment</t>
  </si>
  <si>
    <t>Digital Financial Services</t>
  </si>
  <si>
    <t>Revenue</t>
  </si>
  <si>
    <t>EBITDA</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</si>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</sst>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00_ ;_-[$$-409]* \-#,##0.00\ ;_-[$$-409]* &quot;-&quot;??_ ;_-@_ "/>
    <numFmt numFmtId="167" formatCode="0.0%"/>
  </numFmts>
  <fonts count="4" x14ac:knownFonts="1">
    <font>
      <sz val="11"/>
      <color theme="1"/>
      <name val="Aptos Narrow"/>
      <family val="2"/>
      <scheme val="minor"/>
    </font>
    <font>
      <sz val="11"/>
      <color theme="1"/>
      <name val="Aptos Narrow"/>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3" fontId="0" fillId="0" borderId="0" xfId="0" applyNumberFormat="1"/>
    <xf numFmtId="0" fontId="2" fillId="0" borderId="0" xfId="0" applyFont="1"/>
    <xf numFmtId="0" fontId="3" fillId="0" borderId="0" xfId="0" applyFont="1"/>
    <xf numFmtId="3" fontId="3" fillId="0" borderId="0" xfId="0" applyNumberFormat="1" applyFont="1"/>
    <xf numFmtId="9" fontId="3" fillId="0" borderId="0" xfId="0" applyNumberFormat="1" applyFont="1"/>
    <xf numFmtId="10" fontId="3" fillId="0" borderId="0" xfId="0" applyNumberFormat="1" applyFont="1"/>
    <xf numFmtId="165" fontId="3" fillId="0" borderId="0" xfId="0" applyNumberFormat="1" applyFont="1"/>
    <xf numFmtId="3" fontId="2" fillId="0" borderId="0" xfId="0" applyNumberFormat="1" applyFont="1"/>
    <xf numFmtId="167" fontId="3" fillId="0" borderId="0" xfId="0" applyNumberFormat="1" applyFont="1"/>
    <xf numFmtId="164" fontId="3" fillId="0" borderId="0" xfId="0" applyNumberFormat="1" applyFont="1"/>
    <xf numFmtId="10" fontId="3"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Revenue</a:t>
            </a:r>
            <a:r>
              <a:rPr lang="en-GB" baseline="0"/>
              <a:t> by sector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model!$B$3</c:f>
              <c:strCache>
                <c:ptCount val="1"/>
                <c:pt idx="0">
                  <c:v>Digital Entertainment</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model!$C$2:$J$2</c:f>
              <c:strCache>
                <c:ptCount val="8"/>
                <c:pt idx="0">
                  <c:v>Q1 2022</c:v>
                </c:pt>
                <c:pt idx="1">
                  <c:v>Q2 2022</c:v>
                </c:pt>
                <c:pt idx="2">
                  <c:v>Q3 2022</c:v>
                </c:pt>
                <c:pt idx="3">
                  <c:v>Q4 2022</c:v>
                </c:pt>
                <c:pt idx="4">
                  <c:v>Q1 2023</c:v>
                </c:pt>
                <c:pt idx="5">
                  <c:v>Q2 2023</c:v>
                </c:pt>
                <c:pt idx="6">
                  <c:v>Q3 2023</c:v>
                </c:pt>
                <c:pt idx="7">
                  <c:v>Q4 2023</c:v>
                </c:pt>
              </c:strCache>
            </c:strRef>
          </c:cat>
          <c:val>
            <c:numRef>
              <c:f>model!$C$3:$J$3</c:f>
              <c:numCache>
                <c:formatCode>#,##0</c:formatCode>
                <c:ptCount val="8"/>
                <c:pt idx="0">
                  <c:v>1135.1690000000001</c:v>
                </c:pt>
                <c:pt idx="1">
                  <c:v>900.25800000000004</c:v>
                </c:pt>
                <c:pt idx="2">
                  <c:v>892.87900000000002</c:v>
                </c:pt>
                <c:pt idx="3">
                  <c:v>948.85699999999997</c:v>
                </c:pt>
                <c:pt idx="4">
                  <c:v>539.68600000000004</c:v>
                </c:pt>
                <c:pt idx="5">
                  <c:v>529.39700000000005</c:v>
                </c:pt>
                <c:pt idx="6">
                  <c:v>592.15300000000002</c:v>
                </c:pt>
                <c:pt idx="7">
                  <c:v>597.77990999999997</c:v>
                </c:pt>
              </c:numCache>
            </c:numRef>
          </c:val>
          <c:smooth val="0"/>
          <c:extLst>
            <c:ext xmlns:c16="http://schemas.microsoft.com/office/drawing/2014/chart" uri="{C3380CC4-5D6E-409C-BE32-E72D297353CC}">
              <c16:uniqueId val="{00000000-4BC6-4A3C-9C44-C858D4E3B498}"/>
            </c:ext>
          </c:extLst>
        </c:ser>
        <c:ser>
          <c:idx val="1"/>
          <c:order val="1"/>
          <c:tx>
            <c:strRef>
              <c:f>model!$B$4</c:f>
              <c:strCache>
                <c:ptCount val="1"/>
                <c:pt idx="0">
                  <c:v>E-commerce</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model!$C$2:$J$2</c:f>
              <c:strCache>
                <c:ptCount val="8"/>
                <c:pt idx="0">
                  <c:v>Q1 2022</c:v>
                </c:pt>
                <c:pt idx="1">
                  <c:v>Q2 2022</c:v>
                </c:pt>
                <c:pt idx="2">
                  <c:v>Q3 2022</c:v>
                </c:pt>
                <c:pt idx="3">
                  <c:v>Q4 2022</c:v>
                </c:pt>
                <c:pt idx="4">
                  <c:v>Q1 2023</c:v>
                </c:pt>
                <c:pt idx="5">
                  <c:v>Q2 2023</c:v>
                </c:pt>
                <c:pt idx="6">
                  <c:v>Q3 2023</c:v>
                </c:pt>
                <c:pt idx="7">
                  <c:v>Q4 2023</c:v>
                </c:pt>
              </c:strCache>
            </c:strRef>
          </c:cat>
          <c:val>
            <c:numRef>
              <c:f>model!$C$4:$J$4</c:f>
              <c:numCache>
                <c:formatCode>#,##0</c:formatCode>
                <c:ptCount val="8"/>
                <c:pt idx="0">
                  <c:v>1499.6110000000001</c:v>
                </c:pt>
                <c:pt idx="1">
                  <c:v>1755.6859999999999</c:v>
                </c:pt>
                <c:pt idx="2">
                  <c:v>1976.7429999999999</c:v>
                </c:pt>
                <c:pt idx="3">
                  <c:v>2231.1329999999998</c:v>
                </c:pt>
                <c:pt idx="4">
                  <c:v>2259.5770000000002</c:v>
                </c:pt>
                <c:pt idx="5">
                  <c:v>2322.4960000000001</c:v>
                </c:pt>
                <c:pt idx="6">
                  <c:v>2417.0360000000001</c:v>
                </c:pt>
                <c:pt idx="7">
                  <c:v>2788.9162499999998</c:v>
                </c:pt>
              </c:numCache>
            </c:numRef>
          </c:val>
          <c:smooth val="0"/>
          <c:extLst>
            <c:ext xmlns:c16="http://schemas.microsoft.com/office/drawing/2014/chart" uri="{C3380CC4-5D6E-409C-BE32-E72D297353CC}">
              <c16:uniqueId val="{00000001-4BC6-4A3C-9C44-C858D4E3B498}"/>
            </c:ext>
          </c:extLst>
        </c:ser>
        <c:ser>
          <c:idx val="2"/>
          <c:order val="2"/>
          <c:tx>
            <c:strRef>
              <c:f>model!$B$5</c:f>
              <c:strCache>
                <c:ptCount val="1"/>
                <c:pt idx="0">
                  <c:v>Sales of Goods</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strRef>
              <c:f>model!$C$2:$J$2</c:f>
              <c:strCache>
                <c:ptCount val="8"/>
                <c:pt idx="0">
                  <c:v>Q1 2022</c:v>
                </c:pt>
                <c:pt idx="1">
                  <c:v>Q2 2022</c:v>
                </c:pt>
                <c:pt idx="2">
                  <c:v>Q3 2022</c:v>
                </c:pt>
                <c:pt idx="3">
                  <c:v>Q4 2022</c:v>
                </c:pt>
                <c:pt idx="4">
                  <c:v>Q1 2023</c:v>
                </c:pt>
                <c:pt idx="5">
                  <c:v>Q2 2023</c:v>
                </c:pt>
                <c:pt idx="6">
                  <c:v>Q3 2023</c:v>
                </c:pt>
                <c:pt idx="7">
                  <c:v>Q4 2023</c:v>
                </c:pt>
              </c:strCache>
            </c:strRef>
          </c:cat>
          <c:val>
            <c:numRef>
              <c:f>model!$C$5:$J$5</c:f>
              <c:numCache>
                <c:formatCode>#,##0</c:formatCode>
                <c:ptCount val="8"/>
                <c:pt idx="0">
                  <c:v>264.791</c:v>
                </c:pt>
                <c:pt idx="1">
                  <c:v>286.65499999999997</c:v>
                </c:pt>
                <c:pt idx="2">
                  <c:v>286.32900000000001</c:v>
                </c:pt>
                <c:pt idx="3">
                  <c:v>271.59399999999999</c:v>
                </c:pt>
                <c:pt idx="4">
                  <c:v>241.84100000000001</c:v>
                </c:pt>
                <c:pt idx="5">
                  <c:v>243.767</c:v>
                </c:pt>
                <c:pt idx="6">
                  <c:v>300.97899999999998</c:v>
                </c:pt>
                <c:pt idx="7">
                  <c:v>285.1737</c:v>
                </c:pt>
              </c:numCache>
            </c:numRef>
          </c:val>
          <c:smooth val="0"/>
          <c:extLst>
            <c:ext xmlns:c16="http://schemas.microsoft.com/office/drawing/2014/chart" uri="{C3380CC4-5D6E-409C-BE32-E72D297353CC}">
              <c16:uniqueId val="{00000002-4BC6-4A3C-9C44-C858D4E3B498}"/>
            </c:ext>
          </c:extLst>
        </c:ser>
        <c:dLbls>
          <c:showLegendKey val="0"/>
          <c:showVal val="0"/>
          <c:showCatName val="0"/>
          <c:showSerName val="0"/>
          <c:showPercent val="0"/>
          <c:showBubbleSize val="0"/>
        </c:dLbls>
        <c:marker val="1"/>
        <c:smooth val="0"/>
        <c:axId val="429438064"/>
        <c:axId val="774398624"/>
      </c:lineChart>
      <c:catAx>
        <c:axId val="429438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74398624"/>
        <c:crosses val="autoZero"/>
        <c:auto val="1"/>
        <c:lblAlgn val="ctr"/>
        <c:lblOffset val="100"/>
        <c:noMultiLvlLbl val="0"/>
      </c:catAx>
      <c:valAx>
        <c:axId val="774398624"/>
        <c:scaling>
          <c:orientation val="minMax"/>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4380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28575</xdr:colOff>
      <xdr:row>0</xdr:row>
      <xdr:rowOff>0</xdr:rowOff>
    </xdr:from>
    <xdr:to>
      <xdr:col>18</xdr:col>
      <xdr:colOff>219075</xdr:colOff>
      <xdr:row>18</xdr:row>
      <xdr:rowOff>91493</xdr:rowOff>
    </xdr:to>
    <xdr:pic>
      <xdr:nvPicPr>
        <xdr:cNvPr id="2" name="Picture 1">
          <a:extLst>
            <a:ext uri="{FF2B5EF4-FFF2-40B4-BE49-F238E27FC236}">
              <a16:creationId xmlns:a16="http://schemas.microsoft.com/office/drawing/2014/main" id="{60DFA9F3-93EE-B611-EECF-EB81F2AC5AB4}"/>
            </a:ext>
          </a:extLst>
        </xdr:cNvPr>
        <xdr:cNvPicPr>
          <a:picLocks noChangeAspect="1"/>
        </xdr:cNvPicPr>
      </xdr:nvPicPr>
      <xdr:blipFill>
        <a:blip xmlns:r="http://schemas.openxmlformats.org/officeDocument/2006/relationships" r:embed="rId1"/>
        <a:stretch>
          <a:fillRect/>
        </a:stretch>
      </xdr:blipFill>
      <xdr:spPr>
        <a:xfrm>
          <a:off x="7477125" y="0"/>
          <a:ext cx="3848100" cy="3006143"/>
        </a:xfrm>
        <a:prstGeom prst="rect">
          <a:avLst/>
        </a:prstGeom>
      </xdr:spPr>
    </xdr:pic>
    <xdr:clientData/>
  </xdr:twoCellAnchor>
  <xdr:twoCellAnchor>
    <xdr:from>
      <xdr:col>11</xdr:col>
      <xdr:colOff>552449</xdr:colOff>
      <xdr:row>19</xdr:row>
      <xdr:rowOff>19050</xdr:rowOff>
    </xdr:from>
    <xdr:to>
      <xdr:col>19</xdr:col>
      <xdr:colOff>285750</xdr:colOff>
      <xdr:row>35</xdr:row>
      <xdr:rowOff>19049</xdr:rowOff>
    </xdr:to>
    <xdr:graphicFrame macro="">
      <xdr:nvGraphicFramePr>
        <xdr:cNvPr id="3" name="Chart 2">
          <a:extLst>
            <a:ext uri="{FF2B5EF4-FFF2-40B4-BE49-F238E27FC236}">
              <a16:creationId xmlns:a16="http://schemas.microsoft.com/office/drawing/2014/main" id="{1613D6F1-4F02-436F-8F41-45D31DE06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0</xdr:row>
      <xdr:rowOff>9719</xdr:rowOff>
    </xdr:from>
    <xdr:to>
      <xdr:col>9</xdr:col>
      <xdr:colOff>7776</xdr:colOff>
      <xdr:row>46</xdr:row>
      <xdr:rowOff>62204</xdr:rowOff>
    </xdr:to>
    <xdr:cxnSp macro="">
      <xdr:nvCxnSpPr>
        <xdr:cNvPr id="3" name="Straight Connector 2">
          <a:extLst>
            <a:ext uri="{FF2B5EF4-FFF2-40B4-BE49-F238E27FC236}">
              <a16:creationId xmlns:a16="http://schemas.microsoft.com/office/drawing/2014/main" id="{EC2984A6-D15E-3FA0-250D-CE197F40187A}"/>
            </a:ext>
          </a:extLst>
        </xdr:cNvPr>
        <xdr:cNvCxnSpPr/>
      </xdr:nvCxnSpPr>
      <xdr:spPr>
        <a:xfrm>
          <a:off x="6616959" y="9719"/>
          <a:ext cx="7776" cy="8636648"/>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7776</xdr:colOff>
      <xdr:row>0</xdr:row>
      <xdr:rowOff>171061</xdr:rowOff>
    </xdr:from>
    <xdr:to>
      <xdr:col>14</xdr:col>
      <xdr:colOff>23327</xdr:colOff>
      <xdr:row>50</xdr:row>
      <xdr:rowOff>101082</xdr:rowOff>
    </xdr:to>
    <xdr:cxnSp macro="">
      <xdr:nvCxnSpPr>
        <xdr:cNvPr id="5" name="Straight Connector 4">
          <a:extLst>
            <a:ext uri="{FF2B5EF4-FFF2-40B4-BE49-F238E27FC236}">
              <a16:creationId xmlns:a16="http://schemas.microsoft.com/office/drawing/2014/main" id="{77041559-68CA-8BCA-0AB7-0D55E07369BB}"/>
            </a:ext>
          </a:extLst>
        </xdr:cNvPr>
        <xdr:cNvCxnSpPr/>
      </xdr:nvCxnSpPr>
      <xdr:spPr>
        <a:xfrm>
          <a:off x="9797143" y="171061"/>
          <a:ext cx="15551" cy="926063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https://www.bing.com/financeapi/forcetrigger?t=a22qp2&amp;q=XNYS%3aSE&amp;form=skydnc</v>
    <v>Learn more on Bing</v>
  </rv>
  <rv s="1">
    <v>en-GB</v>
    <v>a22qp2</v>
    <v>268435456</v>
    <v>1</v>
    <v>Powered by Refinitiv</v>
    <v>0</v>
    <v>SEA LIMITED (XNYS:SE)</v>
    <v>2</v>
    <v>3</v>
    <v>Finance</v>
    <v>4</v>
    <v>88.84</v>
    <v>34.35</v>
    <v>1.4711000000000001</v>
    <v>0</v>
    <v>0</v>
    <v>USD</v>
    <v>Sea Limited is a consumer Internet company. The Company operates through three segments: Digital entertainment, E-commerce, and Digital financial services. The Digital entertainment segment includes Garena, which offers mobile and personal computer (PC) online games and develops mobile games for the global market. Garena also promotes eSports. The E-commerce segment includes the Shopee platform, which is a mobile-centric, social-focused marketplace. It provides users with a convenient and safe shopping environment with integrated payment, logistics infrastructure and comprehensive sales services. Products from manufacturers and third parties are also purchased and sold directly to buyers on the Shopee platform. The Digital financial services segment includes SeaMoney, which provides a variety of payment services and loans to individuals and businesses. In addition, SeaMoney also integrates with third-party merchant partners and covers a set of consumption use cases.</v>
    <v>63800</v>
    <v>New York Stock Exchange</v>
    <v>XNYS</v>
    <v>XNYS</v>
    <v>1 Fusionopolis Place, #17-10 Galaxis, 138522 SG</v>
    <v>45.31</v>
    <v>Software &amp; IT Services</v>
    <v>Stock</v>
    <v>45348.61380237266</v>
    <v>0</v>
    <v>44.73</v>
    <v>27565142732</v>
    <v>SEA LIMITED</v>
    <v>SEA LIMITED</v>
    <v>44.88</v>
    <v>37.950899999999997</v>
    <v>45.02</v>
    <v>45.02</v>
    <v>612286600</v>
    <v>SE</v>
    <v>SEA LIMITED (XNYS:SE)</v>
    <v>357953</v>
    <v>5754158</v>
    <v>2009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EF45-A8A5-4782-BA1C-BABA7A6CAC78}">
  <dimension ref="A1:F11"/>
  <sheetViews>
    <sheetView topLeftCell="A7" workbookViewId="0">
      <selection activeCell="U13" sqref="U13"/>
    </sheetView>
  </sheetViews>
  <sheetFormatPr defaultRowHeight="12.75" x14ac:dyDescent="0.2"/>
  <cols>
    <col min="1" max="1" width="9.140625" style="3"/>
    <col min="2" max="2" width="12.5703125" style="3" bestFit="1" customWidth="1"/>
    <col min="3" max="16384" width="9.140625" style="3"/>
  </cols>
  <sheetData>
    <row r="1" spans="1:6" x14ac:dyDescent="0.2">
      <c r="A1" s="3" t="s">
        <v>0</v>
      </c>
      <c r="B1" s="3" t="e" vm="1">
        <v>#VALUE!</v>
      </c>
    </row>
    <row r="2" spans="1:6" x14ac:dyDescent="0.2">
      <c r="A2" s="3" t="s">
        <v>1</v>
      </c>
      <c r="B2" s="10" cm="1">
        <f t="array" ref="B2">_FV(B1,"Price")</f>
        <v>45.02</v>
      </c>
    </row>
    <row r="3" spans="1:6" x14ac:dyDescent="0.2">
      <c r="A3" s="3" t="s">
        <v>2</v>
      </c>
      <c r="B3" s="3">
        <v>566.76</v>
      </c>
    </row>
    <row r="4" spans="1:6" x14ac:dyDescent="0.2">
      <c r="A4" s="3" t="s">
        <v>3</v>
      </c>
      <c r="B4" s="7">
        <f>B2*B3</f>
        <v>25515.535200000002</v>
      </c>
    </row>
    <row r="5" spans="1:6" x14ac:dyDescent="0.2">
      <c r="A5" s="3" t="s">
        <v>4</v>
      </c>
      <c r="B5" s="3">
        <v>5980</v>
      </c>
      <c r="F5" s="11"/>
    </row>
    <row r="6" spans="1:6" x14ac:dyDescent="0.2">
      <c r="A6" s="3" t="s">
        <v>5</v>
      </c>
      <c r="B6" s="3">
        <v>4610</v>
      </c>
    </row>
    <row r="7" spans="1:6" x14ac:dyDescent="0.2">
      <c r="A7" s="3" t="s">
        <v>6</v>
      </c>
      <c r="B7" s="7">
        <f>B4-B5+B6</f>
        <v>24145.535200000002</v>
      </c>
    </row>
    <row r="9" spans="1:6" x14ac:dyDescent="0.2">
      <c r="A9" s="3" t="s">
        <v>7</v>
      </c>
    </row>
    <row r="10" spans="1:6" x14ac:dyDescent="0.2">
      <c r="A10" s="3" t="s">
        <v>55</v>
      </c>
    </row>
    <row r="11" spans="1:6" x14ac:dyDescent="0.2">
      <c r="A11" s="3" t="s">
        <v>56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66586-D475-41F4-99A8-C027F89FB8B9}">
  <dimension ref="B2:DE46"/>
  <sheetViews>
    <sheetView tabSelected="1" zoomScale="90" zoomScaleNormal="90" workbookViewId="0">
      <pane xSplit="2" ySplit="2" topLeftCell="C3" activePane="bottomRight" state="frozen"/>
      <selection pane="topRight" activeCell="C1" sqref="C1"/>
      <selection pane="bottomLeft" activeCell="A3" sqref="A3"/>
      <selection pane="bottomRight" activeCell="Y9" sqref="Y9"/>
    </sheetView>
  </sheetViews>
  <sheetFormatPr defaultRowHeight="12.75" x14ac:dyDescent="0.2"/>
  <cols>
    <col min="1" max="1" width="3.5703125" style="3" customWidth="1"/>
    <col min="2" max="2" width="31.140625" style="3" bestFit="1" customWidth="1"/>
    <col min="3" max="10" width="9.28515625" style="3" bestFit="1" customWidth="1"/>
    <col min="11" max="12" width="9.140625" style="3"/>
    <col min="13" max="13" width="9.85546875" style="3" bestFit="1" customWidth="1"/>
    <col min="14" max="22" width="10.28515625" style="3" bestFit="1" customWidth="1"/>
    <col min="23" max="23" width="13.140625" style="3" bestFit="1" customWidth="1"/>
    <col min="24" max="24" width="12.85546875" style="3" bestFit="1" customWidth="1"/>
    <col min="25" max="25" width="13.7109375" style="3" bestFit="1" customWidth="1"/>
    <col min="26" max="26" width="13.140625" style="3" bestFit="1" customWidth="1"/>
    <col min="27" max="27" width="12" style="3" bestFit="1" customWidth="1"/>
    <col min="28" max="29" width="12.85546875" style="3" bestFit="1" customWidth="1"/>
    <col min="30" max="31" width="13.140625" style="3" bestFit="1" customWidth="1"/>
    <col min="32" max="32" width="12.85546875" style="3" bestFit="1" customWidth="1"/>
    <col min="33" max="35" width="13.140625" style="3" bestFit="1" customWidth="1"/>
    <col min="36" max="36" width="12.85546875" style="3" bestFit="1" customWidth="1"/>
    <col min="37" max="37" width="13.140625" style="3" bestFit="1" customWidth="1"/>
    <col min="38" max="38" width="12.85546875" style="3" bestFit="1" customWidth="1"/>
    <col min="39" max="41" width="13.140625" style="3" bestFit="1" customWidth="1"/>
    <col min="42" max="42" width="12" style="3" bestFit="1" customWidth="1"/>
    <col min="43" max="43" width="11.5703125" style="3" bestFit="1" customWidth="1"/>
    <col min="44" max="44" width="13.140625" style="3" bestFit="1" customWidth="1"/>
    <col min="45" max="45" width="12.85546875" style="3" bestFit="1" customWidth="1"/>
    <col min="46" max="46" width="13.140625" style="3" bestFit="1" customWidth="1"/>
    <col min="47" max="47" width="12.85546875" style="3" bestFit="1" customWidth="1"/>
    <col min="48" max="48" width="13.140625" style="3" bestFit="1" customWidth="1"/>
    <col min="49" max="49" width="12.85546875" style="3" bestFit="1" customWidth="1"/>
    <col min="50" max="53" width="13.140625" style="3" bestFit="1" customWidth="1"/>
    <col min="54" max="54" width="12.85546875" style="3" bestFit="1" customWidth="1"/>
    <col min="55" max="55" width="13.140625" style="3" bestFit="1" customWidth="1"/>
    <col min="56" max="56" width="12.42578125" style="3" bestFit="1" customWidth="1"/>
    <col min="57" max="57" width="13.140625" style="3" bestFit="1" customWidth="1"/>
    <col min="58" max="58" width="12.85546875" style="3" bestFit="1" customWidth="1"/>
    <col min="59" max="59" width="12" style="3" bestFit="1" customWidth="1"/>
    <col min="60" max="65" width="12.85546875" style="3" bestFit="1" customWidth="1"/>
    <col min="66" max="66" width="13.140625" style="3" bestFit="1" customWidth="1"/>
    <col min="67" max="67" width="12.85546875" style="3" bestFit="1" customWidth="1"/>
    <col min="68" max="68" width="12.42578125" style="3" bestFit="1" customWidth="1"/>
    <col min="69" max="70" width="12.85546875" style="3" bestFit="1" customWidth="1"/>
    <col min="71" max="72" width="13.140625" style="3" bestFit="1" customWidth="1"/>
    <col min="73" max="73" width="12.85546875" style="3" bestFit="1" customWidth="1"/>
    <col min="74" max="74" width="13.140625" style="3" bestFit="1" customWidth="1"/>
    <col min="75" max="75" width="12.85546875" style="3" bestFit="1" customWidth="1"/>
    <col min="76" max="86" width="13.140625" style="3" bestFit="1" customWidth="1"/>
    <col min="87" max="87" width="12.42578125" style="3" bestFit="1" customWidth="1"/>
    <col min="88" max="89" width="13.140625" style="3" bestFit="1" customWidth="1"/>
    <col min="90" max="90" width="12.42578125" style="3" bestFit="1" customWidth="1"/>
    <col min="91" max="92" width="12.85546875" style="3" bestFit="1" customWidth="1"/>
    <col min="93" max="98" width="13.140625" style="3" bestFit="1" customWidth="1"/>
    <col min="99" max="99" width="12.85546875" style="3" bestFit="1" customWidth="1"/>
    <col min="100" max="101" width="13.140625" style="3" bestFit="1" customWidth="1"/>
    <col min="102" max="102" width="12.85546875" style="3" bestFit="1" customWidth="1"/>
    <col min="103" max="104" width="13.140625" style="3" bestFit="1" customWidth="1"/>
    <col min="105" max="108" width="12.85546875" style="3" bestFit="1" customWidth="1"/>
    <col min="109" max="109" width="13.140625" style="3" bestFit="1" customWidth="1"/>
    <col min="110" max="16384" width="9.140625" style="3"/>
  </cols>
  <sheetData>
    <row r="2" spans="2:25" x14ac:dyDescent="0.2">
      <c r="B2" s="2" t="s">
        <v>20</v>
      </c>
      <c r="C2" s="2" t="s">
        <v>8</v>
      </c>
      <c r="D2" s="2" t="s">
        <v>9</v>
      </c>
      <c r="E2" s="2" t="s">
        <v>10</v>
      </c>
      <c r="F2" s="2" t="s">
        <v>11</v>
      </c>
      <c r="G2" s="2" t="s">
        <v>12</v>
      </c>
      <c r="H2" s="2" t="s">
        <v>13</v>
      </c>
      <c r="I2" s="2" t="s">
        <v>14</v>
      </c>
      <c r="J2" s="2" t="s">
        <v>15</v>
      </c>
      <c r="M2" s="2">
        <v>2021</v>
      </c>
      <c r="N2" s="2">
        <f>M2+1</f>
        <v>2022</v>
      </c>
      <c r="O2" s="2">
        <f t="shared" ref="O2:T2" si="0">N2+1</f>
        <v>2023</v>
      </c>
      <c r="P2" s="2">
        <f t="shared" si="0"/>
        <v>2024</v>
      </c>
      <c r="Q2" s="2">
        <f t="shared" si="0"/>
        <v>2025</v>
      </c>
      <c r="R2" s="2">
        <f t="shared" si="0"/>
        <v>2026</v>
      </c>
      <c r="S2" s="2">
        <f t="shared" si="0"/>
        <v>2027</v>
      </c>
      <c r="T2" s="2">
        <f t="shared" si="0"/>
        <v>2028</v>
      </c>
      <c r="U2" s="2">
        <f t="shared" ref="U2:V2" si="1">T2+1</f>
        <v>2029</v>
      </c>
      <c r="V2" s="2">
        <f t="shared" si="1"/>
        <v>2030</v>
      </c>
    </row>
    <row r="3" spans="2:25" x14ac:dyDescent="0.2">
      <c r="B3" s="3" t="s">
        <v>16</v>
      </c>
      <c r="C3" s="4">
        <v>1135.1690000000001</v>
      </c>
      <c r="D3" s="4">
        <v>900.25800000000004</v>
      </c>
      <c r="E3" s="4">
        <v>892.87900000000002</v>
      </c>
      <c r="F3" s="4">
        <v>948.85699999999997</v>
      </c>
      <c r="G3" s="4">
        <v>539.68600000000004</v>
      </c>
      <c r="H3" s="4">
        <v>529.39700000000005</v>
      </c>
      <c r="I3" s="4">
        <v>592.15300000000002</v>
      </c>
      <c r="J3" s="4">
        <f>F3*0.63</f>
        <v>597.77990999999997</v>
      </c>
      <c r="K3" s="4"/>
      <c r="L3" s="4"/>
      <c r="M3" s="4">
        <v>4320.0129999999999</v>
      </c>
      <c r="N3" s="4">
        <v>3877.163</v>
      </c>
      <c r="O3" s="4">
        <f>SUM(G3:J3)</f>
        <v>2259.0159100000001</v>
      </c>
      <c r="P3" s="4">
        <f>O3*1.05</f>
        <v>2371.9667055</v>
      </c>
      <c r="Q3" s="4">
        <f t="shared" ref="Q3:V3" si="2">P3*1.05</f>
        <v>2490.5650407749999</v>
      </c>
      <c r="R3" s="4">
        <f t="shared" si="2"/>
        <v>2615.0932928137499</v>
      </c>
      <c r="S3" s="4">
        <f t="shared" si="2"/>
        <v>2745.8479574544376</v>
      </c>
      <c r="T3" s="4">
        <f t="shared" si="2"/>
        <v>2883.1403553271598</v>
      </c>
      <c r="U3" s="4">
        <f t="shared" si="2"/>
        <v>3027.2973730935178</v>
      </c>
      <c r="V3" s="4">
        <f t="shared" si="2"/>
        <v>3178.662241748194</v>
      </c>
      <c r="X3" s="3" t="s">
        <v>53</v>
      </c>
      <c r="Y3" s="5">
        <v>0.1</v>
      </c>
    </row>
    <row r="4" spans="2:25" x14ac:dyDescent="0.2">
      <c r="B4" s="3" t="s">
        <v>17</v>
      </c>
      <c r="C4" s="4">
        <v>1499.6110000000001</v>
      </c>
      <c r="D4" s="4">
        <v>1755.6859999999999</v>
      </c>
      <c r="E4" s="4">
        <v>1976.7429999999999</v>
      </c>
      <c r="F4" s="4">
        <v>2231.1329999999998</v>
      </c>
      <c r="G4" s="4">
        <v>2259.5770000000002</v>
      </c>
      <c r="H4" s="4">
        <v>2322.4960000000001</v>
      </c>
      <c r="I4" s="4">
        <v>2417.0360000000001</v>
      </c>
      <c r="J4" s="4">
        <f>F4*1.25</f>
        <v>2788.9162499999998</v>
      </c>
      <c r="K4" s="4"/>
      <c r="L4" s="4"/>
      <c r="M4" s="4">
        <v>4564.6170000000002</v>
      </c>
      <c r="N4" s="4">
        <v>7463.1729999999998</v>
      </c>
      <c r="O4" s="4">
        <f t="shared" ref="O4:O5" si="3">SUM(G4:J4)</f>
        <v>9788.0252500000006</v>
      </c>
      <c r="P4" s="4">
        <f>O4*1.12</f>
        <v>10962.588280000002</v>
      </c>
      <c r="Q4" s="4">
        <f t="shared" ref="Q4:V4" si="4">P4*1.12</f>
        <v>12278.098873600004</v>
      </c>
      <c r="R4" s="4">
        <f t="shared" si="4"/>
        <v>13751.470738432005</v>
      </c>
      <c r="S4" s="4">
        <f t="shared" si="4"/>
        <v>15401.647227043846</v>
      </c>
      <c r="T4" s="4">
        <f t="shared" si="4"/>
        <v>17249.844894289108</v>
      </c>
      <c r="U4" s="4">
        <f t="shared" si="4"/>
        <v>19319.826281603804</v>
      </c>
      <c r="V4" s="4">
        <f t="shared" si="4"/>
        <v>21638.205435396263</v>
      </c>
      <c r="X4" s="3" t="s">
        <v>54</v>
      </c>
      <c r="Y4" s="6">
        <v>-0.01</v>
      </c>
    </row>
    <row r="5" spans="2:25" x14ac:dyDescent="0.2">
      <c r="B5" s="3" t="s">
        <v>18</v>
      </c>
      <c r="C5" s="4">
        <v>264.791</v>
      </c>
      <c r="D5" s="4">
        <v>286.65499999999997</v>
      </c>
      <c r="E5" s="4">
        <v>286.32900000000001</v>
      </c>
      <c r="F5" s="4">
        <v>271.59399999999999</v>
      </c>
      <c r="G5" s="4">
        <v>241.84100000000001</v>
      </c>
      <c r="H5" s="4">
        <v>243.767</v>
      </c>
      <c r="I5" s="4">
        <v>300.97899999999998</v>
      </c>
      <c r="J5" s="4">
        <f>F5*1.05</f>
        <v>285.1737</v>
      </c>
      <c r="K5" s="4"/>
      <c r="L5" s="4"/>
      <c r="M5" s="4">
        <v>1070.56</v>
      </c>
      <c r="N5" s="4">
        <v>1109.3689999999999</v>
      </c>
      <c r="O5" s="4">
        <f t="shared" si="3"/>
        <v>1071.7607</v>
      </c>
      <c r="P5" s="4">
        <f>O5*1.04</f>
        <v>1114.631128</v>
      </c>
      <c r="Q5" s="4">
        <f t="shared" ref="Q5:V5" si="5">P5*1.04</f>
        <v>1159.2163731200001</v>
      </c>
      <c r="R5" s="4">
        <f t="shared" si="5"/>
        <v>1205.5850280448001</v>
      </c>
      <c r="S5" s="4">
        <f t="shared" si="5"/>
        <v>1253.8084291665921</v>
      </c>
      <c r="T5" s="4">
        <f t="shared" si="5"/>
        <v>1303.9607663332558</v>
      </c>
      <c r="U5" s="4">
        <f t="shared" si="5"/>
        <v>1356.1191969865861</v>
      </c>
      <c r="V5" s="4">
        <f t="shared" si="5"/>
        <v>1410.3639648660496</v>
      </c>
      <c r="X5" s="3" t="s">
        <v>52</v>
      </c>
      <c r="Y5" s="7">
        <f>NPV(Y3,O25:DE25)</f>
        <v>42748.767422675999</v>
      </c>
    </row>
    <row r="6" spans="2:25" x14ac:dyDescent="0.2">
      <c r="B6" s="2" t="s">
        <v>19</v>
      </c>
      <c r="C6" s="8">
        <f t="shared" ref="C6:H6" si="6">SUM(C3:C5)</f>
        <v>2899.5710000000004</v>
      </c>
      <c r="D6" s="8">
        <f t="shared" si="6"/>
        <v>2942.5990000000002</v>
      </c>
      <c r="E6" s="8">
        <f t="shared" si="6"/>
        <v>3155.951</v>
      </c>
      <c r="F6" s="8">
        <f t="shared" si="6"/>
        <v>3451.5839999999998</v>
      </c>
      <c r="G6" s="8">
        <f t="shared" si="6"/>
        <v>3041.1040000000003</v>
      </c>
      <c r="H6" s="8">
        <f t="shared" si="6"/>
        <v>3095.66</v>
      </c>
      <c r="I6" s="8">
        <f>SUM(I3:I5)</f>
        <v>3310.1680000000001</v>
      </c>
      <c r="J6" s="8">
        <f t="shared" ref="J6" si="7">SUM(J3:J5)</f>
        <v>3671.8698599999993</v>
      </c>
      <c r="K6" s="4"/>
      <c r="L6" s="4"/>
      <c r="M6" s="8">
        <f t="shared" ref="M6:V6" si="8">SUM(M3:M5)</f>
        <v>9955.19</v>
      </c>
      <c r="N6" s="8">
        <f t="shared" si="8"/>
        <v>12449.705</v>
      </c>
      <c r="O6" s="8">
        <f t="shared" si="8"/>
        <v>13118.801860000001</v>
      </c>
      <c r="P6" s="8">
        <f t="shared" si="8"/>
        <v>14449.186113500004</v>
      </c>
      <c r="Q6" s="8">
        <f t="shared" si="8"/>
        <v>15927.880287495003</v>
      </c>
      <c r="R6" s="8">
        <f t="shared" si="8"/>
        <v>17572.149059290554</v>
      </c>
      <c r="S6" s="8">
        <f t="shared" si="8"/>
        <v>19401.303613664873</v>
      </c>
      <c r="T6" s="8">
        <f t="shared" si="8"/>
        <v>21436.946015949525</v>
      </c>
      <c r="U6" s="8">
        <f t="shared" si="8"/>
        <v>23703.24285168391</v>
      </c>
      <c r="V6" s="8">
        <f t="shared" si="8"/>
        <v>26227.231642010509</v>
      </c>
      <c r="X6" s="3" t="s">
        <v>51</v>
      </c>
      <c r="Y6" s="7">
        <f>model!N46</f>
        <v>6291.7870000000021</v>
      </c>
    </row>
    <row r="7" spans="2:25" x14ac:dyDescent="0.2">
      <c r="B7" s="3" t="s">
        <v>21</v>
      </c>
      <c r="C7" s="4">
        <v>309.185</v>
      </c>
      <c r="D7" s="4">
        <v>260.529</v>
      </c>
      <c r="E7" s="4">
        <v>264.83300000000003</v>
      </c>
      <c r="F7" s="4">
        <v>242.47</v>
      </c>
      <c r="G7" s="4">
        <v>173.36600000000001</v>
      </c>
      <c r="H7" s="4">
        <v>160.66900000000001</v>
      </c>
      <c r="I7" s="4">
        <v>177.08600000000001</v>
      </c>
      <c r="J7" s="4">
        <f>F7*0.63</f>
        <v>152.7561</v>
      </c>
      <c r="K7" s="4"/>
      <c r="L7" s="4"/>
      <c r="M7" s="4">
        <v>1230.0820000000001</v>
      </c>
      <c r="N7" s="4">
        <v>1077.0170000000001</v>
      </c>
      <c r="O7" s="4">
        <f t="shared" ref="O7:O9" si="9">SUM(G7:J7)</f>
        <v>663.87710000000004</v>
      </c>
      <c r="P7" s="4">
        <f>O7*1.025</f>
        <v>680.47402750000003</v>
      </c>
      <c r="Q7" s="4">
        <f t="shared" ref="Q7:V7" si="10">P7*1.025</f>
        <v>697.48587818750002</v>
      </c>
      <c r="R7" s="4">
        <f t="shared" si="10"/>
        <v>714.9230251421875</v>
      </c>
      <c r="S7" s="4">
        <f t="shared" si="10"/>
        <v>732.7961007707421</v>
      </c>
      <c r="T7" s="4">
        <f t="shared" si="10"/>
        <v>751.11600329001055</v>
      </c>
      <c r="U7" s="4">
        <f t="shared" si="10"/>
        <v>769.89390337226075</v>
      </c>
      <c r="V7" s="4">
        <f t="shared" si="10"/>
        <v>789.14125095656721</v>
      </c>
      <c r="X7" s="3" t="s">
        <v>6</v>
      </c>
      <c r="Y7" s="7">
        <f>Y5+Y6</f>
        <v>49040.554422676003</v>
      </c>
    </row>
    <row r="8" spans="2:25" x14ac:dyDescent="0.2">
      <c r="B8" s="3" t="s">
        <v>22</v>
      </c>
      <c r="C8" s="4">
        <v>1176.4770000000001</v>
      </c>
      <c r="D8" s="4">
        <v>1329.665</v>
      </c>
      <c r="E8" s="4">
        <v>1405.749</v>
      </c>
      <c r="F8" s="4">
        <v>1282.174</v>
      </c>
      <c r="G8" s="4">
        <v>1241.328</v>
      </c>
      <c r="H8" s="4">
        <v>1263.5219999999999</v>
      </c>
      <c r="I8" s="4">
        <v>1403.9749999999999</v>
      </c>
      <c r="J8" s="4">
        <f>F8*1.22</f>
        <v>1564.2522799999999</v>
      </c>
      <c r="K8" s="4"/>
      <c r="L8" s="4"/>
      <c r="M8" s="4">
        <v>3825.826</v>
      </c>
      <c r="N8" s="4">
        <v>5194.0649999999996</v>
      </c>
      <c r="O8" s="4">
        <f t="shared" si="9"/>
        <v>5473.0772799999995</v>
      </c>
      <c r="P8" s="4">
        <f>O8*1.1</f>
        <v>6020.3850080000002</v>
      </c>
      <c r="Q8" s="4">
        <f t="shared" ref="Q8" si="11">P8*1.1</f>
        <v>6622.4235088000005</v>
      </c>
      <c r="R8" s="4">
        <f>Q8*1.12</f>
        <v>7417.1143298560009</v>
      </c>
      <c r="S8" s="4">
        <f t="shared" ref="S8:V8" si="12">R8*1.12</f>
        <v>8307.1680494387219</v>
      </c>
      <c r="T8" s="4">
        <f t="shared" si="12"/>
        <v>9304.0282153713688</v>
      </c>
      <c r="U8" s="4">
        <f t="shared" si="12"/>
        <v>10420.511601215934</v>
      </c>
      <c r="V8" s="4">
        <f t="shared" si="12"/>
        <v>11670.972993361847</v>
      </c>
      <c r="X8" s="3" t="s">
        <v>1</v>
      </c>
      <c r="Y8" s="7">
        <f>Y7/main!B3</f>
        <v>86.527903208899716</v>
      </c>
    </row>
    <row r="9" spans="2:25" x14ac:dyDescent="0.2">
      <c r="B9" s="3" t="s">
        <v>23</v>
      </c>
      <c r="C9" s="4">
        <v>243.881</v>
      </c>
      <c r="D9" s="4">
        <v>262.18700000000001</v>
      </c>
      <c r="E9" s="4">
        <v>257.65100000000001</v>
      </c>
      <c r="F9" s="4">
        <v>229.62700000000001</v>
      </c>
      <c r="G9" s="4">
        <v>209.72</v>
      </c>
      <c r="H9" s="4">
        <v>220.59100000000001</v>
      </c>
      <c r="I9" s="4">
        <v>287.815</v>
      </c>
      <c r="J9" s="4">
        <f>F9*1.04</f>
        <v>238.81208000000001</v>
      </c>
      <c r="K9" s="4"/>
      <c r="L9" s="4"/>
      <c r="M9" s="4">
        <v>1003.547</v>
      </c>
      <c r="N9" s="4">
        <v>993.346</v>
      </c>
      <c r="O9" s="4">
        <f t="shared" si="9"/>
        <v>956.93808000000001</v>
      </c>
      <c r="P9" s="4">
        <f>O9*1.01</f>
        <v>966.50746079999999</v>
      </c>
      <c r="Q9" s="4">
        <f t="shared" ref="Q9:V9" si="13">P9*1.01</f>
        <v>976.17253540800004</v>
      </c>
      <c r="R9" s="4">
        <f t="shared" si="13"/>
        <v>985.93426076208004</v>
      </c>
      <c r="S9" s="4">
        <f t="shared" si="13"/>
        <v>995.7936033697008</v>
      </c>
      <c r="T9" s="4">
        <f t="shared" si="13"/>
        <v>1005.7515394033978</v>
      </c>
      <c r="U9" s="4">
        <f t="shared" si="13"/>
        <v>1015.8090547974318</v>
      </c>
      <c r="V9" s="4">
        <f t="shared" si="13"/>
        <v>1025.9671453454062</v>
      </c>
    </row>
    <row r="10" spans="2:25" x14ac:dyDescent="0.2">
      <c r="B10" s="3" t="s">
        <v>24</v>
      </c>
      <c r="C10" s="4">
        <f t="shared" ref="C10:H12" si="14">C3-C7</f>
        <v>825.98400000000015</v>
      </c>
      <c r="D10" s="4">
        <f t="shared" si="14"/>
        <v>639.72900000000004</v>
      </c>
      <c r="E10" s="4">
        <f t="shared" si="14"/>
        <v>628.04600000000005</v>
      </c>
      <c r="F10" s="4">
        <f t="shared" si="14"/>
        <v>706.38699999999994</v>
      </c>
      <c r="G10" s="4">
        <f t="shared" si="14"/>
        <v>366.32000000000005</v>
      </c>
      <c r="H10" s="4">
        <f t="shared" si="14"/>
        <v>368.72800000000007</v>
      </c>
      <c r="I10" s="4">
        <f>I3-I7</f>
        <v>415.06700000000001</v>
      </c>
      <c r="J10" s="4">
        <f t="shared" ref="J10" si="15">J3-J7</f>
        <v>445.02380999999997</v>
      </c>
      <c r="K10" s="4"/>
      <c r="L10" s="4"/>
      <c r="M10" s="4">
        <f t="shared" ref="M10:V10" si="16">M3-M7</f>
        <v>3089.9309999999996</v>
      </c>
      <c r="N10" s="4">
        <f t="shared" si="16"/>
        <v>2800.1459999999997</v>
      </c>
      <c r="O10" s="4">
        <f t="shared" si="16"/>
        <v>1595.1388099999999</v>
      </c>
      <c r="P10" s="4">
        <f t="shared" si="16"/>
        <v>1691.4926780000001</v>
      </c>
      <c r="Q10" s="4">
        <f t="shared" si="16"/>
        <v>1793.0791625874999</v>
      </c>
      <c r="R10" s="4">
        <f t="shared" si="16"/>
        <v>1900.1702676715624</v>
      </c>
      <c r="S10" s="4">
        <f t="shared" si="16"/>
        <v>2013.0518566836954</v>
      </c>
      <c r="T10" s="4">
        <f t="shared" si="16"/>
        <v>2132.0243520371491</v>
      </c>
      <c r="U10" s="4">
        <f t="shared" si="16"/>
        <v>2257.4034697212569</v>
      </c>
      <c r="V10" s="4">
        <f t="shared" si="16"/>
        <v>2389.5209907916269</v>
      </c>
    </row>
    <row r="11" spans="2:25" x14ac:dyDescent="0.2">
      <c r="B11" s="3" t="s">
        <v>25</v>
      </c>
      <c r="C11" s="4">
        <f t="shared" si="14"/>
        <v>323.13400000000001</v>
      </c>
      <c r="D11" s="4">
        <f t="shared" si="14"/>
        <v>426.02099999999996</v>
      </c>
      <c r="E11" s="4">
        <f t="shared" si="14"/>
        <v>570.99399999999991</v>
      </c>
      <c r="F11" s="4">
        <f t="shared" si="14"/>
        <v>948.95899999999983</v>
      </c>
      <c r="G11" s="4">
        <f t="shared" si="14"/>
        <v>1018.2490000000003</v>
      </c>
      <c r="H11" s="4">
        <f t="shared" si="14"/>
        <v>1058.9740000000002</v>
      </c>
      <c r="I11" s="4">
        <f t="shared" ref="I11:J12" si="17">I4-I8</f>
        <v>1013.0610000000001</v>
      </c>
      <c r="J11" s="4">
        <f t="shared" si="17"/>
        <v>1224.6639699999998</v>
      </c>
      <c r="K11" s="4"/>
      <c r="L11" s="4"/>
      <c r="M11" s="4">
        <f t="shared" ref="M11:T12" si="18">M4-M8</f>
        <v>738.79100000000017</v>
      </c>
      <c r="N11" s="4">
        <f t="shared" si="18"/>
        <v>2269.1080000000002</v>
      </c>
      <c r="O11" s="4">
        <f t="shared" si="18"/>
        <v>4314.9479700000011</v>
      </c>
      <c r="P11" s="4">
        <f t="shared" si="18"/>
        <v>4942.2032720000016</v>
      </c>
      <c r="Q11" s="4">
        <f t="shared" si="18"/>
        <v>5655.6753648000031</v>
      </c>
      <c r="R11" s="4">
        <f t="shared" si="18"/>
        <v>6334.3564085760036</v>
      </c>
      <c r="S11" s="4">
        <f t="shared" si="18"/>
        <v>7094.4791776051243</v>
      </c>
      <c r="T11" s="4">
        <f t="shared" si="18"/>
        <v>7945.8166789177394</v>
      </c>
      <c r="U11" s="4">
        <f t="shared" ref="U11:V11" si="19">U4-U8</f>
        <v>8899.3146803878699</v>
      </c>
      <c r="V11" s="4">
        <f t="shared" si="19"/>
        <v>9967.2324420344157</v>
      </c>
    </row>
    <row r="12" spans="2:25" x14ac:dyDescent="0.2">
      <c r="B12" s="3" t="s">
        <v>26</v>
      </c>
      <c r="C12" s="4">
        <f t="shared" si="14"/>
        <v>20.909999999999997</v>
      </c>
      <c r="D12" s="4">
        <f t="shared" si="14"/>
        <v>24.467999999999961</v>
      </c>
      <c r="E12" s="4">
        <f t="shared" si="14"/>
        <v>28.677999999999997</v>
      </c>
      <c r="F12" s="4">
        <f t="shared" si="14"/>
        <v>41.966999999999985</v>
      </c>
      <c r="G12" s="4">
        <f t="shared" si="14"/>
        <v>32.121000000000009</v>
      </c>
      <c r="H12" s="4">
        <f t="shared" si="14"/>
        <v>23.175999999999988</v>
      </c>
      <c r="I12" s="4">
        <f t="shared" si="17"/>
        <v>13.163999999999987</v>
      </c>
      <c r="J12" s="4">
        <f t="shared" si="17"/>
        <v>46.361619999999988</v>
      </c>
      <c r="K12" s="4"/>
      <c r="L12" s="4"/>
      <c r="M12" s="4">
        <f t="shared" si="18"/>
        <v>67.01299999999992</v>
      </c>
      <c r="N12" s="4">
        <f t="shared" si="18"/>
        <v>116.02299999999991</v>
      </c>
      <c r="O12" s="4">
        <f t="shared" si="18"/>
        <v>114.82262000000003</v>
      </c>
      <c r="P12" s="4">
        <f t="shared" si="18"/>
        <v>148.1236672</v>
      </c>
      <c r="Q12" s="4">
        <f t="shared" si="18"/>
        <v>183.04383771200003</v>
      </c>
      <c r="R12" s="4">
        <f t="shared" si="18"/>
        <v>219.65076728272004</v>
      </c>
      <c r="S12" s="4">
        <f t="shared" si="18"/>
        <v>258.01482579689127</v>
      </c>
      <c r="T12" s="4">
        <f t="shared" si="18"/>
        <v>298.209226929858</v>
      </c>
      <c r="U12" s="4">
        <f t="shared" ref="U12:V12" si="20">U5-U9</f>
        <v>340.31014218915425</v>
      </c>
      <c r="V12" s="4">
        <f t="shared" si="20"/>
        <v>384.39681952064348</v>
      </c>
    </row>
    <row r="13" spans="2:25" x14ac:dyDescent="0.2">
      <c r="B13" s="2" t="s">
        <v>27</v>
      </c>
      <c r="C13" s="8">
        <f t="shared" ref="C13:H13" si="21">C10+C11+C12</f>
        <v>1170.0280000000002</v>
      </c>
      <c r="D13" s="8">
        <f t="shared" si="21"/>
        <v>1090.2179999999998</v>
      </c>
      <c r="E13" s="8">
        <f t="shared" si="21"/>
        <v>1227.7179999999998</v>
      </c>
      <c r="F13" s="8">
        <f t="shared" si="21"/>
        <v>1697.3129999999996</v>
      </c>
      <c r="G13" s="8">
        <f t="shared" si="21"/>
        <v>1416.6900000000005</v>
      </c>
      <c r="H13" s="8">
        <f t="shared" si="21"/>
        <v>1450.8780000000002</v>
      </c>
      <c r="I13" s="8">
        <f>I10+I11+I12</f>
        <v>1441.2920000000001</v>
      </c>
      <c r="J13" s="8">
        <f t="shared" ref="J13" si="22">J10+J11+J12</f>
        <v>1716.0493999999997</v>
      </c>
      <c r="K13" s="4"/>
      <c r="L13" s="4"/>
      <c r="M13" s="8">
        <f t="shared" ref="M13:V13" si="23">M10+M11+M12</f>
        <v>3895.7349999999997</v>
      </c>
      <c r="N13" s="8">
        <f t="shared" si="23"/>
        <v>5185.277</v>
      </c>
      <c r="O13" s="8">
        <f t="shared" si="23"/>
        <v>6024.9094000000014</v>
      </c>
      <c r="P13" s="8">
        <f t="shared" si="23"/>
        <v>6781.8196172000007</v>
      </c>
      <c r="Q13" s="8">
        <f t="shared" si="23"/>
        <v>7631.7983650995029</v>
      </c>
      <c r="R13" s="8">
        <f t="shared" si="23"/>
        <v>8454.177443530285</v>
      </c>
      <c r="S13" s="8">
        <f t="shared" si="23"/>
        <v>9365.5458600857091</v>
      </c>
      <c r="T13" s="8">
        <f t="shared" si="23"/>
        <v>10376.050257884746</v>
      </c>
      <c r="U13" s="8">
        <f t="shared" si="23"/>
        <v>11497.028292298281</v>
      </c>
      <c r="V13" s="8">
        <f t="shared" si="23"/>
        <v>12741.150252346686</v>
      </c>
    </row>
    <row r="14" spans="2:25" x14ac:dyDescent="0.2">
      <c r="B14" s="3" t="s">
        <v>28</v>
      </c>
      <c r="C14" s="4">
        <v>73.655000000000001</v>
      </c>
      <c r="D14" s="4">
        <v>71.103999999999999</v>
      </c>
      <c r="E14" s="4">
        <v>65.971999999999994</v>
      </c>
      <c r="F14" s="4">
        <v>68.453000000000003</v>
      </c>
      <c r="G14" s="4">
        <v>57.88</v>
      </c>
      <c r="H14" s="4">
        <v>58.003</v>
      </c>
      <c r="I14" s="4">
        <v>46.613999999999997</v>
      </c>
      <c r="J14" s="4">
        <f>F14*0.9</f>
        <v>61.607700000000001</v>
      </c>
      <c r="K14" s="4"/>
      <c r="L14" s="4"/>
      <c r="M14" s="4">
        <v>287.94600000000003</v>
      </c>
      <c r="N14" s="4">
        <v>279.18400000000003</v>
      </c>
      <c r="O14" s="4">
        <f t="shared" ref="O14:O18" si="24">SUM(G14:J14)</f>
        <v>224.10470000000001</v>
      </c>
      <c r="P14" s="4">
        <f>O14*0.99</f>
        <v>221.863653</v>
      </c>
      <c r="Q14" s="4">
        <f t="shared" ref="Q14:V14" si="25">P14*0.99</f>
        <v>219.64501647</v>
      </c>
      <c r="R14" s="4">
        <f t="shared" si="25"/>
        <v>217.44856630530001</v>
      </c>
      <c r="S14" s="4">
        <f t="shared" si="25"/>
        <v>215.27408064224701</v>
      </c>
      <c r="T14" s="4">
        <f t="shared" si="25"/>
        <v>213.12133983582453</v>
      </c>
      <c r="U14" s="4">
        <f t="shared" si="25"/>
        <v>210.99012643746627</v>
      </c>
      <c r="V14" s="4">
        <f t="shared" si="25"/>
        <v>208.88022517309162</v>
      </c>
    </row>
    <row r="15" spans="2:25" x14ac:dyDescent="0.2">
      <c r="B15" s="3" t="s">
        <v>29</v>
      </c>
      <c r="C15" s="4">
        <v>1005.174</v>
      </c>
      <c r="D15" s="4">
        <v>973.76700000000005</v>
      </c>
      <c r="E15" s="4">
        <v>816.66200000000003</v>
      </c>
      <c r="F15" s="4">
        <v>473.62</v>
      </c>
      <c r="G15" s="4">
        <v>400.14299999999997</v>
      </c>
      <c r="H15" s="4">
        <v>493.601</v>
      </c>
      <c r="I15" s="4">
        <v>918.04600000000005</v>
      </c>
      <c r="J15" s="4">
        <f>F15*1.15</f>
        <v>544.66300000000001</v>
      </c>
      <c r="K15" s="4"/>
      <c r="L15" s="4"/>
      <c r="M15" s="4">
        <v>3829.7429999999999</v>
      </c>
      <c r="N15" s="4">
        <v>3269.223</v>
      </c>
      <c r="O15" s="4">
        <f t="shared" si="24"/>
        <v>2356.453</v>
      </c>
      <c r="P15" s="4">
        <f>O15*1.04</f>
        <v>2450.7111199999999</v>
      </c>
      <c r="Q15" s="4">
        <f>P15*1.04</f>
        <v>2548.7395648000002</v>
      </c>
      <c r="R15" s="4">
        <f>Q15*1.02</f>
        <v>2599.7143560960003</v>
      </c>
      <c r="S15" s="4">
        <f t="shared" ref="S15:V15" si="26">R15*1.02</f>
        <v>2651.7086432179203</v>
      </c>
      <c r="T15" s="4">
        <f t="shared" si="26"/>
        <v>2704.7428160822788</v>
      </c>
      <c r="U15" s="4">
        <f t="shared" si="26"/>
        <v>2758.8376724039244</v>
      </c>
      <c r="V15" s="4">
        <f t="shared" si="26"/>
        <v>2814.0144258520031</v>
      </c>
    </row>
    <row r="16" spans="2:25" x14ac:dyDescent="0.2">
      <c r="B16" s="3" t="s">
        <v>30</v>
      </c>
      <c r="C16" s="4">
        <v>315.66699999999997</v>
      </c>
      <c r="D16" s="4">
        <v>364.447</v>
      </c>
      <c r="E16" s="4">
        <v>405.17700000000002</v>
      </c>
      <c r="F16" s="4">
        <v>352.32100000000003</v>
      </c>
      <c r="G16" s="4">
        <v>333.37700000000001</v>
      </c>
      <c r="H16" s="4">
        <v>295.16899999999998</v>
      </c>
      <c r="I16" s="4">
        <v>273.57499999999999</v>
      </c>
      <c r="J16" s="4">
        <f>I16*0.98</f>
        <v>268.1035</v>
      </c>
      <c r="K16" s="4"/>
      <c r="L16" s="4"/>
      <c r="M16" s="4">
        <v>987.86800000000005</v>
      </c>
      <c r="N16" s="4">
        <v>1437.6120000000001</v>
      </c>
      <c r="O16" s="4">
        <f t="shared" si="24"/>
        <v>1170.2245</v>
      </c>
      <c r="P16" s="4">
        <f>O16*0.99</f>
        <v>1158.5222550000001</v>
      </c>
      <c r="Q16" s="4">
        <f>P16*1.03</f>
        <v>1193.2779226500002</v>
      </c>
      <c r="R16" s="4">
        <f t="shared" ref="R16:V16" si="27">Q16*1.03</f>
        <v>1229.0762603295002</v>
      </c>
      <c r="S16" s="4">
        <f t="shared" si="27"/>
        <v>1265.9485481393851</v>
      </c>
      <c r="T16" s="4">
        <f t="shared" si="27"/>
        <v>1303.9270045835667</v>
      </c>
      <c r="U16" s="4">
        <f t="shared" si="27"/>
        <v>1343.0448147210739</v>
      </c>
      <c r="V16" s="4">
        <f t="shared" si="27"/>
        <v>1383.3361591627061</v>
      </c>
    </row>
    <row r="17" spans="2:109" x14ac:dyDescent="0.2">
      <c r="B17" s="3" t="s">
        <v>31</v>
      </c>
      <c r="C17" s="4">
        <v>80.465999999999994</v>
      </c>
      <c r="D17" s="4">
        <v>111.598</v>
      </c>
      <c r="E17" s="4">
        <v>146.523</v>
      </c>
      <c r="F17" s="4">
        <v>175.10300000000001</v>
      </c>
      <c r="G17" s="4">
        <v>177.43899999999999</v>
      </c>
      <c r="H17" s="4">
        <v>153.001</v>
      </c>
      <c r="I17" s="4">
        <v>143.51400000000001</v>
      </c>
      <c r="J17" s="4">
        <f>F17*0.95</f>
        <v>166.34784999999999</v>
      </c>
      <c r="K17" s="4"/>
      <c r="L17" s="4"/>
      <c r="M17" s="4">
        <v>117.42700000000001</v>
      </c>
      <c r="N17" s="4">
        <v>513.69000000000005</v>
      </c>
      <c r="O17" s="4">
        <f t="shared" si="24"/>
        <v>640.30185000000006</v>
      </c>
      <c r="P17" s="4">
        <f>O17*1.015</f>
        <v>649.90637775000005</v>
      </c>
      <c r="Q17" s="4">
        <f t="shared" ref="Q17:V17" si="28">P17*1.015</f>
        <v>659.65497341624996</v>
      </c>
      <c r="R17" s="4">
        <f t="shared" si="28"/>
        <v>669.54979801749369</v>
      </c>
      <c r="S17" s="4">
        <f t="shared" si="28"/>
        <v>679.593044987756</v>
      </c>
      <c r="T17" s="4">
        <f t="shared" si="28"/>
        <v>689.78694066257231</v>
      </c>
      <c r="U17" s="4">
        <f t="shared" si="28"/>
        <v>700.13374477251079</v>
      </c>
      <c r="V17" s="4">
        <f t="shared" si="28"/>
        <v>710.63575094409839</v>
      </c>
    </row>
    <row r="18" spans="2:109" x14ac:dyDescent="0.2">
      <c r="B18" s="3" t="s">
        <v>32</v>
      </c>
      <c r="C18" s="4">
        <v>340.40800000000002</v>
      </c>
      <c r="D18" s="4">
        <v>370.92599999999999</v>
      </c>
      <c r="E18" s="4">
        <v>420.97199999999998</v>
      </c>
      <c r="F18" s="4">
        <v>244.19499999999999</v>
      </c>
      <c r="G18" s="4">
        <v>320.512</v>
      </c>
      <c r="H18" s="4">
        <v>283.29700000000003</v>
      </c>
      <c r="I18" s="4">
        <v>280.51100000000002</v>
      </c>
      <c r="J18" s="4">
        <f>F18*1.05</f>
        <v>256.40474999999998</v>
      </c>
      <c r="K18" s="4"/>
      <c r="L18" s="4"/>
      <c r="M18" s="4">
        <v>831.70299999999997</v>
      </c>
      <c r="N18" s="4">
        <v>1376.501</v>
      </c>
      <c r="O18" s="4">
        <f t="shared" si="24"/>
        <v>1140.7247499999999</v>
      </c>
      <c r="P18" s="4">
        <f>O18*0.99</f>
        <v>1129.3175024999998</v>
      </c>
      <c r="Q18" s="4">
        <f t="shared" ref="Q18:V18" si="29">P18*0.99</f>
        <v>1118.0243274749998</v>
      </c>
      <c r="R18" s="4">
        <f t="shared" si="29"/>
        <v>1106.8440842002499</v>
      </c>
      <c r="S18" s="4">
        <f t="shared" si="29"/>
        <v>1095.7756433582474</v>
      </c>
      <c r="T18" s="4">
        <f t="shared" si="29"/>
        <v>1084.8178869246649</v>
      </c>
      <c r="U18" s="4">
        <f t="shared" si="29"/>
        <v>1073.9697080554183</v>
      </c>
      <c r="V18" s="4">
        <f t="shared" si="29"/>
        <v>1063.2300109748642</v>
      </c>
    </row>
    <row r="19" spans="2:109" x14ac:dyDescent="0.2">
      <c r="B19" s="3" t="s">
        <v>33</v>
      </c>
      <c r="C19" s="4">
        <f t="shared" ref="C19:H19" si="30">SUM(C15:C18)-C14</f>
        <v>1668.0599999999997</v>
      </c>
      <c r="D19" s="4">
        <f t="shared" si="30"/>
        <v>1749.6339999999998</v>
      </c>
      <c r="E19" s="4">
        <f t="shared" si="30"/>
        <v>1723.3619999999999</v>
      </c>
      <c r="F19" s="4">
        <f t="shared" si="30"/>
        <v>1176.7860000000001</v>
      </c>
      <c r="G19" s="4">
        <f t="shared" si="30"/>
        <v>1173.5909999999999</v>
      </c>
      <c r="H19" s="4">
        <f t="shared" si="30"/>
        <v>1167.0650000000001</v>
      </c>
      <c r="I19" s="4">
        <f>SUM(I15:I18)-I14</f>
        <v>1569.0320000000002</v>
      </c>
      <c r="J19" s="4">
        <f t="shared" ref="J19" si="31">SUM(J15:J18)-J14</f>
        <v>1173.9114</v>
      </c>
      <c r="K19" s="4"/>
      <c r="L19" s="4"/>
      <c r="M19" s="4">
        <f t="shared" ref="M19:V19" si="32">SUM(M15:M18)-M14</f>
        <v>5478.7950000000001</v>
      </c>
      <c r="N19" s="4">
        <f t="shared" si="32"/>
        <v>6317.8419999999996</v>
      </c>
      <c r="O19" s="4">
        <f t="shared" si="32"/>
        <v>5083.5993999999992</v>
      </c>
      <c r="P19" s="4">
        <f t="shared" si="32"/>
        <v>5166.5936022499991</v>
      </c>
      <c r="Q19" s="4">
        <f t="shared" si="32"/>
        <v>5300.0517718712499</v>
      </c>
      <c r="R19" s="4">
        <f t="shared" si="32"/>
        <v>5387.7359323379442</v>
      </c>
      <c r="S19" s="4">
        <f t="shared" si="32"/>
        <v>5477.7517990610613</v>
      </c>
      <c r="T19" s="4">
        <f t="shared" si="32"/>
        <v>5570.1533084172588</v>
      </c>
      <c r="U19" s="4">
        <f t="shared" si="32"/>
        <v>5664.9958135154602</v>
      </c>
      <c r="V19" s="4">
        <f t="shared" si="32"/>
        <v>5762.3361217605807</v>
      </c>
    </row>
    <row r="20" spans="2:109" x14ac:dyDescent="0.2">
      <c r="B20" s="2" t="s">
        <v>34</v>
      </c>
      <c r="C20" s="8">
        <f t="shared" ref="C20:H20" si="33">C13-C19</f>
        <v>-498.03199999999947</v>
      </c>
      <c r="D20" s="8">
        <f t="shared" si="33"/>
        <v>-659.41599999999994</v>
      </c>
      <c r="E20" s="8">
        <f t="shared" si="33"/>
        <v>-495.64400000000001</v>
      </c>
      <c r="F20" s="8">
        <f t="shared" si="33"/>
        <v>520.52699999999959</v>
      </c>
      <c r="G20" s="8">
        <f t="shared" si="33"/>
        <v>243.09900000000061</v>
      </c>
      <c r="H20" s="8">
        <f t="shared" si="33"/>
        <v>283.8130000000001</v>
      </c>
      <c r="I20" s="8">
        <f>I13-I19</f>
        <v>-127.74000000000001</v>
      </c>
      <c r="J20" s="8">
        <f t="shared" ref="J20" si="34">J13-J19</f>
        <v>542.13799999999969</v>
      </c>
      <c r="K20" s="4"/>
      <c r="L20" s="4"/>
      <c r="M20" s="8">
        <f t="shared" ref="M20:V20" si="35">M13-M19</f>
        <v>-1583.0600000000004</v>
      </c>
      <c r="N20" s="8">
        <f t="shared" si="35"/>
        <v>-1132.5649999999996</v>
      </c>
      <c r="O20" s="8">
        <f t="shared" si="35"/>
        <v>941.31000000000222</v>
      </c>
      <c r="P20" s="8">
        <f t="shared" si="35"/>
        <v>1615.2260149500016</v>
      </c>
      <c r="Q20" s="8">
        <f t="shared" si="35"/>
        <v>2331.746593228253</v>
      </c>
      <c r="R20" s="8">
        <f t="shared" si="35"/>
        <v>3066.4415111923408</v>
      </c>
      <c r="S20" s="8">
        <f t="shared" si="35"/>
        <v>3887.7940610246478</v>
      </c>
      <c r="T20" s="8">
        <f t="shared" si="35"/>
        <v>4805.8969494674875</v>
      </c>
      <c r="U20" s="8">
        <f t="shared" si="35"/>
        <v>5832.0324787828204</v>
      </c>
      <c r="V20" s="8">
        <f t="shared" si="35"/>
        <v>6978.8141305861054</v>
      </c>
    </row>
    <row r="21" spans="2:109" x14ac:dyDescent="0.2">
      <c r="B21" s="3" t="s">
        <v>35</v>
      </c>
      <c r="C21" s="4">
        <v>-6.06</v>
      </c>
      <c r="D21" s="4">
        <v>-32.765000000000001</v>
      </c>
      <c r="E21" s="4">
        <v>-9.173</v>
      </c>
      <c r="F21" s="4">
        <v>34.972999999999999</v>
      </c>
      <c r="G21" s="4">
        <v>22.521999999999998</v>
      </c>
      <c r="H21" s="4">
        <v>107.565</v>
      </c>
      <c r="I21" s="4">
        <v>45.875</v>
      </c>
      <c r="J21" s="4">
        <f>F21*1.07</f>
        <v>37.421109999999999</v>
      </c>
      <c r="K21" s="4"/>
      <c r="L21" s="4"/>
      <c r="M21" s="4">
        <v>-132.124</v>
      </c>
      <c r="N21" s="4">
        <v>-13.025</v>
      </c>
      <c r="O21" s="4">
        <f t="shared" ref="O21:O22" si="36">SUM(G21:J21)</f>
        <v>213.38310999999999</v>
      </c>
      <c r="P21" s="4">
        <f>O21*0.99</f>
        <v>211.24927889999998</v>
      </c>
      <c r="Q21" s="4">
        <f t="shared" ref="Q21:V21" si="37">P21*0.99</f>
        <v>209.13678611099996</v>
      </c>
      <c r="R21" s="4">
        <f t="shared" si="37"/>
        <v>207.04541824988996</v>
      </c>
      <c r="S21" s="4">
        <f t="shared" si="37"/>
        <v>204.97496406739106</v>
      </c>
      <c r="T21" s="4">
        <f t="shared" si="37"/>
        <v>202.92521442671713</v>
      </c>
      <c r="U21" s="4">
        <f t="shared" si="37"/>
        <v>200.89596228244997</v>
      </c>
      <c r="V21" s="4">
        <f t="shared" si="37"/>
        <v>198.88700265962547</v>
      </c>
    </row>
    <row r="22" spans="2:109" x14ac:dyDescent="0.2">
      <c r="B22" s="3" t="s">
        <v>36</v>
      </c>
      <c r="C22" s="4">
        <v>5.7619999999999996</v>
      </c>
      <c r="D22" s="4">
        <v>3.0329999999999999</v>
      </c>
      <c r="E22" s="4">
        <v>0.82099999999999995</v>
      </c>
      <c r="F22" s="4">
        <v>1.54</v>
      </c>
      <c r="G22" s="4">
        <v>1.444</v>
      </c>
      <c r="H22" s="4">
        <v>1.8169999999999999</v>
      </c>
      <c r="I22" s="4">
        <v>-0.437</v>
      </c>
      <c r="J22" s="4">
        <f>F22*1.03</f>
        <v>1.5862000000000001</v>
      </c>
      <c r="K22" s="4"/>
      <c r="L22" s="4"/>
      <c r="M22" s="4">
        <v>5.0190000000000001</v>
      </c>
      <c r="N22" s="4">
        <v>11.156000000000001</v>
      </c>
      <c r="O22" s="4">
        <f t="shared" si="36"/>
        <v>4.4102000000000006</v>
      </c>
      <c r="P22" s="4">
        <f>O22*1.03</f>
        <v>4.5425060000000004</v>
      </c>
      <c r="Q22" s="4">
        <f t="shared" ref="Q22:V22" si="38">P22*1.03</f>
        <v>4.6787811800000005</v>
      </c>
      <c r="R22" s="4">
        <f t="shared" si="38"/>
        <v>4.8191446154000008</v>
      </c>
      <c r="S22" s="4">
        <f t="shared" si="38"/>
        <v>4.963718953862001</v>
      </c>
      <c r="T22" s="4">
        <f t="shared" si="38"/>
        <v>5.1126305224778612</v>
      </c>
      <c r="U22" s="4">
        <f t="shared" si="38"/>
        <v>5.2660094381521976</v>
      </c>
      <c r="V22" s="4">
        <f t="shared" si="38"/>
        <v>5.4239897212967634</v>
      </c>
    </row>
    <row r="23" spans="2:109" x14ac:dyDescent="0.2">
      <c r="B23" s="3" t="s">
        <v>37</v>
      </c>
      <c r="C23" s="4">
        <f t="shared" ref="C23:H23" si="39">C20+C21+C22</f>
        <v>-498.32999999999947</v>
      </c>
      <c r="D23" s="4">
        <f t="shared" si="39"/>
        <v>-689.14799999999991</v>
      </c>
      <c r="E23" s="4">
        <f t="shared" si="39"/>
        <v>-503.99599999999998</v>
      </c>
      <c r="F23" s="4">
        <f t="shared" si="39"/>
        <v>557.03999999999951</v>
      </c>
      <c r="G23" s="4">
        <f t="shared" si="39"/>
        <v>267.06500000000062</v>
      </c>
      <c r="H23" s="4">
        <f t="shared" si="39"/>
        <v>393.19500000000011</v>
      </c>
      <c r="I23" s="4">
        <f>I20+I21+I22</f>
        <v>-82.302000000000007</v>
      </c>
      <c r="J23" s="4">
        <f t="shared" ref="J23" si="40">J20+J21+J22</f>
        <v>581.14530999999965</v>
      </c>
      <c r="K23" s="4"/>
      <c r="L23" s="4"/>
      <c r="M23" s="4">
        <f t="shared" ref="M23:V23" si="41">M20+M21+M22</f>
        <v>-1710.1650000000004</v>
      </c>
      <c r="N23" s="4">
        <f t="shared" si="41"/>
        <v>-1134.4339999999997</v>
      </c>
      <c r="O23" s="4">
        <f t="shared" si="41"/>
        <v>1159.1033100000022</v>
      </c>
      <c r="P23" s="4">
        <f t="shared" si="41"/>
        <v>1831.0177998500017</v>
      </c>
      <c r="Q23" s="4">
        <f t="shared" si="41"/>
        <v>2545.5621605192528</v>
      </c>
      <c r="R23" s="4">
        <f t="shared" si="41"/>
        <v>3278.3060740576307</v>
      </c>
      <c r="S23" s="4">
        <f t="shared" si="41"/>
        <v>4097.7327440459003</v>
      </c>
      <c r="T23" s="4">
        <f t="shared" si="41"/>
        <v>5013.934794416683</v>
      </c>
      <c r="U23" s="4">
        <f t="shared" si="41"/>
        <v>6038.1944505034226</v>
      </c>
      <c r="V23" s="4">
        <f t="shared" si="41"/>
        <v>7183.125122967027</v>
      </c>
    </row>
    <row r="24" spans="2:109" x14ac:dyDescent="0.2">
      <c r="B24" s="3" t="s">
        <v>38</v>
      </c>
      <c r="C24" s="4">
        <v>81.805999999999997</v>
      </c>
      <c r="D24" s="4">
        <v>64.771000000000001</v>
      </c>
      <c r="E24" s="4">
        <v>65.278999999999996</v>
      </c>
      <c r="F24" s="4">
        <v>43.460999999999999</v>
      </c>
      <c r="G24" s="4">
        <v>61.898000000000003</v>
      </c>
      <c r="H24" s="4">
        <v>62.212000000000003</v>
      </c>
      <c r="I24" s="4">
        <v>61.676000000000002</v>
      </c>
      <c r="J24" s="4">
        <f>J23*0.12</f>
        <v>69.73743719999996</v>
      </c>
      <c r="K24" s="4"/>
      <c r="L24" s="4"/>
      <c r="M24" s="4">
        <v>332.86500000000001</v>
      </c>
      <c r="N24" s="4">
        <v>168.39500000000001</v>
      </c>
      <c r="O24" s="4">
        <f>SUM(G24:J24)</f>
        <v>255.52343719999996</v>
      </c>
      <c r="P24" s="4">
        <f>P23*0.12</f>
        <v>219.7221359820002</v>
      </c>
      <c r="Q24" s="4">
        <f t="shared" ref="Q24:V24" si="42">Q23*0.12</f>
        <v>305.46745926231034</v>
      </c>
      <c r="R24" s="4">
        <f t="shared" si="42"/>
        <v>393.39672888691564</v>
      </c>
      <c r="S24" s="4">
        <f t="shared" si="42"/>
        <v>491.72792928550803</v>
      </c>
      <c r="T24" s="4">
        <f t="shared" si="42"/>
        <v>601.67217533000189</v>
      </c>
      <c r="U24" s="4">
        <f t="shared" si="42"/>
        <v>724.58333406041072</v>
      </c>
      <c r="V24" s="4">
        <f t="shared" si="42"/>
        <v>861.97501475604315</v>
      </c>
    </row>
    <row r="25" spans="2:109" x14ac:dyDescent="0.2">
      <c r="B25" s="2" t="s">
        <v>39</v>
      </c>
      <c r="C25" s="8">
        <f t="shared" ref="C25:H25" si="43">C23-C24</f>
        <v>-580.13599999999951</v>
      </c>
      <c r="D25" s="8">
        <f t="shared" si="43"/>
        <v>-753.91899999999987</v>
      </c>
      <c r="E25" s="8">
        <f t="shared" si="43"/>
        <v>-569.27499999999998</v>
      </c>
      <c r="F25" s="8">
        <f t="shared" si="43"/>
        <v>513.5789999999995</v>
      </c>
      <c r="G25" s="8">
        <f t="shared" si="43"/>
        <v>205.16700000000063</v>
      </c>
      <c r="H25" s="8">
        <f t="shared" si="43"/>
        <v>330.98300000000012</v>
      </c>
      <c r="I25" s="8">
        <f>I23-I24</f>
        <v>-143.97800000000001</v>
      </c>
      <c r="J25" s="8">
        <f t="shared" ref="J25" si="44">J23-J24</f>
        <v>511.40787279999972</v>
      </c>
      <c r="K25" s="8"/>
      <c r="L25" s="8"/>
      <c r="M25" s="8">
        <f t="shared" ref="M25:V25" si="45">M23-M24</f>
        <v>-2043.0300000000004</v>
      </c>
      <c r="N25" s="8">
        <f t="shared" si="45"/>
        <v>-1302.8289999999997</v>
      </c>
      <c r="O25" s="8">
        <f t="shared" si="45"/>
        <v>903.57987280000225</v>
      </c>
      <c r="P25" s="8">
        <f t="shared" si="45"/>
        <v>1611.2956638680014</v>
      </c>
      <c r="Q25" s="8">
        <f t="shared" si="45"/>
        <v>2240.0947012569422</v>
      </c>
      <c r="R25" s="8">
        <f t="shared" si="45"/>
        <v>2884.9093451707149</v>
      </c>
      <c r="S25" s="8">
        <f t="shared" si="45"/>
        <v>3606.004814760392</v>
      </c>
      <c r="T25" s="8">
        <f t="shared" si="45"/>
        <v>4412.2626190866813</v>
      </c>
      <c r="U25" s="8">
        <f t="shared" si="45"/>
        <v>5313.6111164430122</v>
      </c>
      <c r="V25" s="8">
        <f t="shared" si="45"/>
        <v>6321.1501082109835</v>
      </c>
      <c r="W25" s="8">
        <f>V25*(1+$Y$4)</f>
        <v>6257.9386071288736</v>
      </c>
      <c r="X25" s="8">
        <f t="shared" ref="X25:CI25" si="46">W25*(1+$Y$4)</f>
        <v>6195.3592210575853</v>
      </c>
      <c r="Y25" s="8">
        <f t="shared" si="46"/>
        <v>6133.4056288470092</v>
      </c>
      <c r="Z25" s="8">
        <f t="shared" si="46"/>
        <v>6072.0715725585387</v>
      </c>
      <c r="AA25" s="8">
        <f t="shared" si="46"/>
        <v>6011.3508568329535</v>
      </c>
      <c r="AB25" s="8">
        <f t="shared" si="46"/>
        <v>5951.2373482646235</v>
      </c>
      <c r="AC25" s="8">
        <f t="shared" si="46"/>
        <v>5891.7249747819769</v>
      </c>
      <c r="AD25" s="8">
        <f t="shared" si="46"/>
        <v>5832.8077250341576</v>
      </c>
      <c r="AE25" s="8">
        <f t="shared" si="46"/>
        <v>5774.4796477838163</v>
      </c>
      <c r="AF25" s="8">
        <f t="shared" si="46"/>
        <v>5716.7348513059778</v>
      </c>
      <c r="AG25" s="8">
        <f t="shared" si="46"/>
        <v>5659.5675027929183</v>
      </c>
      <c r="AH25" s="8">
        <f t="shared" si="46"/>
        <v>5602.971827764989</v>
      </c>
      <c r="AI25" s="8">
        <f t="shared" si="46"/>
        <v>5546.9421094873387</v>
      </c>
      <c r="AJ25" s="8">
        <f t="shared" si="46"/>
        <v>5491.472688392465</v>
      </c>
      <c r="AK25" s="8">
        <f t="shared" si="46"/>
        <v>5436.5579615085398</v>
      </c>
      <c r="AL25" s="8">
        <f t="shared" si="46"/>
        <v>5382.1923818934547</v>
      </c>
      <c r="AM25" s="8">
        <f t="shared" si="46"/>
        <v>5328.3704580745198</v>
      </c>
      <c r="AN25" s="8">
        <f t="shared" si="46"/>
        <v>5275.0867534937743</v>
      </c>
      <c r="AO25" s="8">
        <f t="shared" si="46"/>
        <v>5222.3358859588361</v>
      </c>
      <c r="AP25" s="8">
        <f t="shared" si="46"/>
        <v>5170.1125270992479</v>
      </c>
      <c r="AQ25" s="8">
        <f t="shared" si="46"/>
        <v>5118.4114018282553</v>
      </c>
      <c r="AR25" s="8">
        <f t="shared" si="46"/>
        <v>5067.2272878099729</v>
      </c>
      <c r="AS25" s="8">
        <f t="shared" si="46"/>
        <v>5016.5550149318733</v>
      </c>
      <c r="AT25" s="8">
        <f t="shared" si="46"/>
        <v>4966.3894647825546</v>
      </c>
      <c r="AU25" s="8">
        <f t="shared" si="46"/>
        <v>4916.7255701347294</v>
      </c>
      <c r="AV25" s="8">
        <f t="shared" si="46"/>
        <v>4867.5583144333823</v>
      </c>
      <c r="AW25" s="8">
        <f t="shared" si="46"/>
        <v>4818.882731289048</v>
      </c>
      <c r="AX25" s="8">
        <f t="shared" si="46"/>
        <v>4770.6939039761573</v>
      </c>
      <c r="AY25" s="8">
        <f t="shared" si="46"/>
        <v>4722.9869649363955</v>
      </c>
      <c r="AZ25" s="8">
        <f t="shared" si="46"/>
        <v>4675.757095287031</v>
      </c>
      <c r="BA25" s="8">
        <f t="shared" si="46"/>
        <v>4628.9995243341609</v>
      </c>
      <c r="BB25" s="8">
        <f t="shared" si="46"/>
        <v>4582.7095290908192</v>
      </c>
      <c r="BC25" s="8">
        <f t="shared" si="46"/>
        <v>4536.8824337999113</v>
      </c>
      <c r="BD25" s="8">
        <f t="shared" si="46"/>
        <v>4491.513609461912</v>
      </c>
      <c r="BE25" s="8">
        <f t="shared" si="46"/>
        <v>4446.5984733672931</v>
      </c>
      <c r="BF25" s="8">
        <f t="shared" si="46"/>
        <v>4402.1324886336197</v>
      </c>
      <c r="BG25" s="8">
        <f t="shared" si="46"/>
        <v>4358.1111637472832</v>
      </c>
      <c r="BH25" s="8">
        <f t="shared" si="46"/>
        <v>4314.5300521098106</v>
      </c>
      <c r="BI25" s="8">
        <f t="shared" si="46"/>
        <v>4271.3847515887128</v>
      </c>
      <c r="BJ25" s="8">
        <f t="shared" si="46"/>
        <v>4228.6709040728256</v>
      </c>
      <c r="BK25" s="8">
        <f t="shared" si="46"/>
        <v>4186.3841950320975</v>
      </c>
      <c r="BL25" s="8">
        <f t="shared" si="46"/>
        <v>4144.5203530817762</v>
      </c>
      <c r="BM25" s="8">
        <f t="shared" si="46"/>
        <v>4103.0751495509585</v>
      </c>
      <c r="BN25" s="8">
        <f t="shared" si="46"/>
        <v>4062.0443980554487</v>
      </c>
      <c r="BO25" s="8">
        <f t="shared" si="46"/>
        <v>4021.423954074894</v>
      </c>
      <c r="BP25" s="8">
        <f t="shared" si="46"/>
        <v>3981.209714534145</v>
      </c>
      <c r="BQ25" s="8">
        <f t="shared" si="46"/>
        <v>3941.3976173888036</v>
      </c>
      <c r="BR25" s="8">
        <f t="shared" si="46"/>
        <v>3901.9836412149157</v>
      </c>
      <c r="BS25" s="8">
        <f t="shared" si="46"/>
        <v>3862.9638048027664</v>
      </c>
      <c r="BT25" s="8">
        <f t="shared" si="46"/>
        <v>3824.3341667547388</v>
      </c>
      <c r="BU25" s="8">
        <f t="shared" si="46"/>
        <v>3786.0908250871912</v>
      </c>
      <c r="BV25" s="8">
        <f t="shared" si="46"/>
        <v>3748.2299168363193</v>
      </c>
      <c r="BW25" s="8">
        <f t="shared" si="46"/>
        <v>3710.7476176679561</v>
      </c>
      <c r="BX25" s="8">
        <f t="shared" si="46"/>
        <v>3673.6401414912766</v>
      </c>
      <c r="BY25" s="8">
        <f t="shared" si="46"/>
        <v>3636.9037400763636</v>
      </c>
      <c r="BZ25" s="8">
        <f t="shared" si="46"/>
        <v>3600.5347026755999</v>
      </c>
      <c r="CA25" s="8">
        <f t="shared" si="46"/>
        <v>3564.5293556488436</v>
      </c>
      <c r="CB25" s="8">
        <f t="shared" si="46"/>
        <v>3528.8840620923552</v>
      </c>
      <c r="CC25" s="8">
        <f t="shared" si="46"/>
        <v>3493.5952214714316</v>
      </c>
      <c r="CD25" s="8">
        <f t="shared" si="46"/>
        <v>3458.6592692567174</v>
      </c>
      <c r="CE25" s="8">
        <f t="shared" si="46"/>
        <v>3424.0726765641502</v>
      </c>
      <c r="CF25" s="8">
        <f t="shared" si="46"/>
        <v>3389.8319497985085</v>
      </c>
      <c r="CG25" s="8">
        <f t="shared" si="46"/>
        <v>3355.9336303005234</v>
      </c>
      <c r="CH25" s="8">
        <f t="shared" si="46"/>
        <v>3322.3742939975182</v>
      </c>
      <c r="CI25" s="8">
        <f t="shared" si="46"/>
        <v>3289.150551057543</v>
      </c>
      <c r="CJ25" s="8">
        <f t="shared" ref="CJ25:DE25" si="47">CI25*(1+$Y$4)</f>
        <v>3256.2590455469676</v>
      </c>
      <c r="CK25" s="8">
        <f t="shared" si="47"/>
        <v>3223.6964550914981</v>
      </c>
      <c r="CL25" s="8">
        <f t="shared" si="47"/>
        <v>3191.4594905405829</v>
      </c>
      <c r="CM25" s="8">
        <f t="shared" si="47"/>
        <v>3159.544895635177</v>
      </c>
      <c r="CN25" s="8">
        <f t="shared" si="47"/>
        <v>3127.9494466788251</v>
      </c>
      <c r="CO25" s="8">
        <f t="shared" si="47"/>
        <v>3096.6699522120366</v>
      </c>
      <c r="CP25" s="8">
        <f t="shared" si="47"/>
        <v>3065.7032526899161</v>
      </c>
      <c r="CQ25" s="8">
        <f t="shared" si="47"/>
        <v>3035.0462201630171</v>
      </c>
      <c r="CR25" s="8">
        <f t="shared" si="47"/>
        <v>3004.6957579613868</v>
      </c>
      <c r="CS25" s="8">
        <f t="shared" si="47"/>
        <v>2974.6488003817731</v>
      </c>
      <c r="CT25" s="8">
        <f t="shared" si="47"/>
        <v>2944.9023123779552</v>
      </c>
      <c r="CU25" s="8">
        <f t="shared" si="47"/>
        <v>2915.4532892541756</v>
      </c>
      <c r="CV25" s="8">
        <f t="shared" si="47"/>
        <v>2886.2987563616339</v>
      </c>
      <c r="CW25" s="8">
        <f t="shared" si="47"/>
        <v>2857.4357687980173</v>
      </c>
      <c r="CX25" s="8">
        <f t="shared" si="47"/>
        <v>2828.8614111100369</v>
      </c>
      <c r="CY25" s="8">
        <f t="shared" si="47"/>
        <v>2800.5727969989366</v>
      </c>
      <c r="CZ25" s="8">
        <f t="shared" si="47"/>
        <v>2772.5670690289471</v>
      </c>
      <c r="DA25" s="8">
        <f t="shared" si="47"/>
        <v>2744.8413983386577</v>
      </c>
      <c r="DB25" s="8">
        <f t="shared" si="47"/>
        <v>2717.392984355271</v>
      </c>
      <c r="DC25" s="8">
        <f t="shared" si="47"/>
        <v>2690.2190545117182</v>
      </c>
      <c r="DD25" s="8">
        <f t="shared" si="47"/>
        <v>2663.316863966601</v>
      </c>
      <c r="DE25" s="8">
        <f t="shared" si="47"/>
        <v>2636.6836953269349</v>
      </c>
    </row>
    <row r="26" spans="2:109" x14ac:dyDescent="0.2">
      <c r="B26" s="3" t="s">
        <v>49</v>
      </c>
    </row>
    <row r="28" spans="2:109" x14ac:dyDescent="0.2">
      <c r="B28" s="3" t="s">
        <v>40</v>
      </c>
      <c r="C28" s="9"/>
      <c r="D28" s="9"/>
      <c r="E28" s="9"/>
      <c r="F28" s="9"/>
      <c r="G28" s="9">
        <f>G6/C6-1</f>
        <v>4.8811703524417993E-2</v>
      </c>
      <c r="H28" s="9">
        <f>H6/D6-1</f>
        <v>5.2015582143540406E-2</v>
      </c>
      <c r="I28" s="9">
        <f>I6/E6-1</f>
        <v>4.8865460838904085E-2</v>
      </c>
      <c r="J28" s="9">
        <f>J6/F6-1</f>
        <v>6.3821671441286032E-2</v>
      </c>
      <c r="M28" s="9"/>
      <c r="N28" s="9">
        <f>N6/M6-1</f>
        <v>0.2505743235437996</v>
      </c>
      <c r="O28" s="9">
        <f t="shared" ref="O28:V28" si="48">O6/N6-1</f>
        <v>5.3743993130761059E-2</v>
      </c>
      <c r="P28" s="9">
        <f t="shared" si="48"/>
        <v>0.10141049980764039</v>
      </c>
      <c r="Q28" s="9">
        <f t="shared" si="48"/>
        <v>0.10233754083999536</v>
      </c>
      <c r="R28" s="9">
        <f t="shared" si="48"/>
        <v>0.10323211514130159</v>
      </c>
      <c r="S28" s="9">
        <f t="shared" si="48"/>
        <v>0.10409395846817215</v>
      </c>
      <c r="T28" s="9">
        <f t="shared" si="48"/>
        <v>0.10492297027148689</v>
      </c>
      <c r="U28" s="9">
        <f t="shared" si="48"/>
        <v>0.10571920244834376</v>
      </c>
      <c r="V28" s="9">
        <f t="shared" si="48"/>
        <v>0.10648284735214153</v>
      </c>
    </row>
    <row r="29" spans="2:109" x14ac:dyDescent="0.2">
      <c r="B29" s="3" t="s">
        <v>44</v>
      </c>
      <c r="C29" s="9"/>
      <c r="D29" s="9"/>
      <c r="E29" s="9"/>
      <c r="F29" s="9"/>
      <c r="G29" s="9">
        <f>G3/C3-1</f>
        <v>-0.52457651680058215</v>
      </c>
      <c r="H29" s="9">
        <f>H3/D3-1</f>
        <v>-0.41194968553459121</v>
      </c>
      <c r="I29" s="9">
        <f>I3/E3-1</f>
        <v>-0.33680487501665957</v>
      </c>
      <c r="J29" s="9">
        <f>J3/F3-1</f>
        <v>-0.37</v>
      </c>
      <c r="M29" s="9"/>
      <c r="N29" s="9">
        <f>N3/M3-1</f>
        <v>-0.10251126559109891</v>
      </c>
      <c r="O29" s="9">
        <f t="shared" ref="O29:V29" si="49">O3/N3-1</f>
        <v>-0.41735338184131021</v>
      </c>
      <c r="P29" s="9">
        <f t="shared" si="49"/>
        <v>5.0000000000000044E-2</v>
      </c>
      <c r="Q29" s="9">
        <f t="shared" si="49"/>
        <v>5.0000000000000044E-2</v>
      </c>
      <c r="R29" s="9">
        <f t="shared" si="49"/>
        <v>5.0000000000000044E-2</v>
      </c>
      <c r="S29" s="9">
        <f t="shared" si="49"/>
        <v>5.0000000000000044E-2</v>
      </c>
      <c r="T29" s="9">
        <f t="shared" si="49"/>
        <v>5.0000000000000044E-2</v>
      </c>
      <c r="U29" s="9">
        <f t="shared" si="49"/>
        <v>5.0000000000000044E-2</v>
      </c>
      <c r="V29" s="9">
        <f t="shared" si="49"/>
        <v>5.0000000000000044E-2</v>
      </c>
    </row>
    <row r="30" spans="2:109" x14ac:dyDescent="0.2">
      <c r="B30" s="3" t="s">
        <v>45</v>
      </c>
      <c r="C30" s="9"/>
      <c r="D30" s="9"/>
      <c r="E30" s="9"/>
      <c r="F30" s="9"/>
      <c r="G30" s="9">
        <f>G4/C4-1</f>
        <v>0.50677542375989515</v>
      </c>
      <c r="H30" s="9">
        <f>H4/D4-1</f>
        <v>0.32284246727489996</v>
      </c>
      <c r="I30" s="9">
        <f t="shared" ref="I30:J31" si="50">I4/E4-1</f>
        <v>0.22273659246548494</v>
      </c>
      <c r="J30" s="9">
        <f t="shared" si="50"/>
        <v>0.25</v>
      </c>
      <c r="M30" s="9"/>
      <c r="N30" s="9">
        <f t="shared" ref="N30:V30" si="51">N4/M4-1</f>
        <v>0.63500530274500555</v>
      </c>
      <c r="O30" s="9">
        <f t="shared" si="51"/>
        <v>0.31150989666191586</v>
      </c>
      <c r="P30" s="9">
        <f t="shared" si="51"/>
        <v>0.12000000000000011</v>
      </c>
      <c r="Q30" s="9">
        <f t="shared" si="51"/>
        <v>0.12000000000000011</v>
      </c>
      <c r="R30" s="9">
        <f t="shared" si="51"/>
        <v>0.12000000000000011</v>
      </c>
      <c r="S30" s="9">
        <f t="shared" si="51"/>
        <v>0.12000000000000011</v>
      </c>
      <c r="T30" s="9">
        <f t="shared" si="51"/>
        <v>0.12000000000000011</v>
      </c>
      <c r="U30" s="9">
        <f t="shared" si="51"/>
        <v>0.12000000000000011</v>
      </c>
      <c r="V30" s="9">
        <f t="shared" si="51"/>
        <v>0.12000000000000011</v>
      </c>
    </row>
    <row r="31" spans="2:109" x14ac:dyDescent="0.2">
      <c r="B31" s="3" t="s">
        <v>46</v>
      </c>
      <c r="C31" s="9"/>
      <c r="D31" s="9"/>
      <c r="E31" s="9"/>
      <c r="F31" s="9"/>
      <c r="G31" s="9">
        <f>G5/C5-1</f>
        <v>-8.6672130095056032E-2</v>
      </c>
      <c r="H31" s="9">
        <f>H5/D5-1</f>
        <v>-0.14961539132406543</v>
      </c>
      <c r="I31" s="9">
        <f t="shared" si="50"/>
        <v>5.1164918677465421E-2</v>
      </c>
      <c r="J31" s="9">
        <f t="shared" si="50"/>
        <v>5.0000000000000044E-2</v>
      </c>
      <c r="M31" s="9"/>
      <c r="N31" s="9">
        <f t="shared" ref="N31:V31" si="52">N5/M5-1</f>
        <v>3.6251120908683321E-2</v>
      </c>
      <c r="O31" s="9">
        <f t="shared" si="52"/>
        <v>-3.3900622786466772E-2</v>
      </c>
      <c r="P31" s="9">
        <f t="shared" si="52"/>
        <v>4.0000000000000036E-2</v>
      </c>
      <c r="Q31" s="9">
        <f t="shared" si="52"/>
        <v>4.0000000000000036E-2</v>
      </c>
      <c r="R31" s="9">
        <f t="shared" si="52"/>
        <v>4.0000000000000036E-2</v>
      </c>
      <c r="S31" s="9">
        <f t="shared" si="52"/>
        <v>4.0000000000000036E-2</v>
      </c>
      <c r="T31" s="9">
        <f t="shared" si="52"/>
        <v>4.0000000000000036E-2</v>
      </c>
      <c r="U31" s="9">
        <f t="shared" si="52"/>
        <v>4.0000000000000036E-2</v>
      </c>
      <c r="V31" s="9">
        <f t="shared" si="52"/>
        <v>4.0000000000000036E-2</v>
      </c>
    </row>
    <row r="32" spans="2:109" x14ac:dyDescent="0.2">
      <c r="B32" s="3" t="s">
        <v>41</v>
      </c>
      <c r="C32" s="9">
        <f t="shared" ref="C32:H34" si="53">C10/C3</f>
        <v>0.72763086377446895</v>
      </c>
      <c r="D32" s="9">
        <f t="shared" si="53"/>
        <v>0.71060629286271271</v>
      </c>
      <c r="E32" s="9">
        <f t="shared" si="53"/>
        <v>0.70339430090751387</v>
      </c>
      <c r="F32" s="9">
        <f t="shared" si="53"/>
        <v>0.74446096724796251</v>
      </c>
      <c r="G32" s="9">
        <f t="shared" si="53"/>
        <v>0.67876505968285272</v>
      </c>
      <c r="H32" s="9">
        <f t="shared" si="53"/>
        <v>0.69650564699082174</v>
      </c>
      <c r="I32" s="9">
        <f t="shared" ref="I32:J35" si="54">I10/I3</f>
        <v>0.70094553265794479</v>
      </c>
      <c r="J32" s="9">
        <f t="shared" si="54"/>
        <v>0.74446096724796251</v>
      </c>
      <c r="M32" s="9">
        <f t="shared" ref="M32:T35" si="55">M10/M3</f>
        <v>0.71525965315382145</v>
      </c>
      <c r="N32" s="9">
        <f t="shared" si="55"/>
        <v>0.72221518672286922</v>
      </c>
      <c r="O32" s="9">
        <f t="shared" si="55"/>
        <v>0.70612110474246281</v>
      </c>
      <c r="P32" s="9">
        <f t="shared" si="55"/>
        <v>0.71311822129621372</v>
      </c>
      <c r="Q32" s="9">
        <f t="shared" si="55"/>
        <v>0.71994873983678009</v>
      </c>
      <c r="R32" s="9">
        <f t="shared" si="55"/>
        <v>0.72661662698352336</v>
      </c>
      <c r="S32" s="9">
        <f t="shared" si="55"/>
        <v>0.7331257549124871</v>
      </c>
      <c r="T32" s="9">
        <f t="shared" si="55"/>
        <v>0.73947990360504701</v>
      </c>
      <c r="U32" s="9">
        <f t="shared" ref="U32:V32" si="56">U10/U3</f>
        <v>0.74568276304302206</v>
      </c>
      <c r="V32" s="9">
        <f t="shared" si="56"/>
        <v>0.75173793535152167</v>
      </c>
    </row>
    <row r="33" spans="2:22" x14ac:dyDescent="0.2">
      <c r="B33" s="3" t="s">
        <v>42</v>
      </c>
      <c r="C33" s="9">
        <f t="shared" si="53"/>
        <v>0.21547854743663522</v>
      </c>
      <c r="D33" s="9">
        <f t="shared" si="53"/>
        <v>0.24265215989647351</v>
      </c>
      <c r="E33" s="9">
        <f t="shared" si="53"/>
        <v>0.288855961548871</v>
      </c>
      <c r="F33" s="9">
        <f t="shared" si="53"/>
        <v>0.42532605631309289</v>
      </c>
      <c r="G33" s="9">
        <f t="shared" si="53"/>
        <v>0.45063699975703425</v>
      </c>
      <c r="H33" s="9">
        <f t="shared" si="53"/>
        <v>0.45596375623467172</v>
      </c>
      <c r="I33" s="9">
        <f t="shared" si="54"/>
        <v>0.41913359999602823</v>
      </c>
      <c r="J33" s="9">
        <f t="shared" si="54"/>
        <v>0.4391182309615787</v>
      </c>
      <c r="M33" s="9">
        <f t="shared" si="55"/>
        <v>0.16185169533391303</v>
      </c>
      <c r="N33" s="9">
        <f t="shared" si="55"/>
        <v>0.30404065402208957</v>
      </c>
      <c r="O33" s="9">
        <f t="shared" si="55"/>
        <v>0.44083948087485786</v>
      </c>
      <c r="P33" s="9">
        <f t="shared" si="55"/>
        <v>0.45082449014494969</v>
      </c>
      <c r="Q33" s="9">
        <f t="shared" si="55"/>
        <v>0.46063119567807564</v>
      </c>
      <c r="R33" s="9">
        <f t="shared" si="55"/>
        <v>0.46063119567807559</v>
      </c>
      <c r="S33" s="9">
        <f t="shared" si="55"/>
        <v>0.46063119567807559</v>
      </c>
      <c r="T33" s="9">
        <f t="shared" si="55"/>
        <v>0.46063119567807559</v>
      </c>
      <c r="U33" s="9">
        <f t="shared" ref="U33:V33" si="57">U11/U4</f>
        <v>0.46063119567807559</v>
      </c>
      <c r="V33" s="9">
        <f t="shared" si="57"/>
        <v>0.46063119567807564</v>
      </c>
    </row>
    <row r="34" spans="2:22" x14ac:dyDescent="0.2">
      <c r="B34" s="3" t="s">
        <v>43</v>
      </c>
      <c r="C34" s="9">
        <f t="shared" si="53"/>
        <v>7.8967940753273319E-2</v>
      </c>
      <c r="D34" s="9">
        <f t="shared" si="53"/>
        <v>8.5356962201949951E-2</v>
      </c>
      <c r="E34" s="9">
        <f t="shared" si="53"/>
        <v>0.10015751111483642</v>
      </c>
      <c r="F34" s="9">
        <f t="shared" si="53"/>
        <v>0.154521086621943</v>
      </c>
      <c r="G34" s="9">
        <f t="shared" si="53"/>
        <v>0.13281867011797011</v>
      </c>
      <c r="H34" s="9">
        <f t="shared" si="53"/>
        <v>9.5074394811438742E-2</v>
      </c>
      <c r="I34" s="9">
        <f t="shared" si="54"/>
        <v>4.3737270706594104E-2</v>
      </c>
      <c r="J34" s="9">
        <f t="shared" si="54"/>
        <v>0.16257326674935307</v>
      </c>
      <c r="M34" s="9">
        <f t="shared" si="55"/>
        <v>6.2596211328650356E-2</v>
      </c>
      <c r="N34" s="9">
        <f t="shared" si="55"/>
        <v>0.10458467831713336</v>
      </c>
      <c r="O34" s="9">
        <f t="shared" si="55"/>
        <v>0.10713456837893014</v>
      </c>
      <c r="P34" s="9">
        <f t="shared" si="55"/>
        <v>0.13289030198338406</v>
      </c>
      <c r="Q34" s="9">
        <f t="shared" si="55"/>
        <v>0.15790308173386336</v>
      </c>
      <c r="R34" s="9">
        <f t="shared" si="55"/>
        <v>0.18219433899154039</v>
      </c>
      <c r="S34" s="9">
        <f t="shared" si="55"/>
        <v>0.20578488690524599</v>
      </c>
      <c r="T34" s="9">
        <f t="shared" si="55"/>
        <v>0.22869493824451775</v>
      </c>
      <c r="U34" s="9">
        <f t="shared" ref="U34:V34" si="58">U12/U5</f>
        <v>0.25094412271823358</v>
      </c>
      <c r="V34" s="9">
        <f t="shared" si="58"/>
        <v>0.27255150379366921</v>
      </c>
    </row>
    <row r="35" spans="2:22" x14ac:dyDescent="0.2">
      <c r="B35" s="3" t="s">
        <v>47</v>
      </c>
      <c r="C35" s="9">
        <f t="shared" ref="C35:H35" si="59">C13/C6</f>
        <v>0.40351762381400563</v>
      </c>
      <c r="D35" s="9">
        <f t="shared" si="59"/>
        <v>0.37049492642388576</v>
      </c>
      <c r="E35" s="9">
        <f t="shared" si="59"/>
        <v>0.38901681299868085</v>
      </c>
      <c r="F35" s="9">
        <f t="shared" si="59"/>
        <v>0.49174900567391661</v>
      </c>
      <c r="G35" s="9">
        <f t="shared" si="59"/>
        <v>0.46584727125412362</v>
      </c>
      <c r="H35" s="9">
        <f t="shared" si="59"/>
        <v>0.46868131513150674</v>
      </c>
      <c r="I35" s="9">
        <f t="shared" si="54"/>
        <v>0.43541355000712956</v>
      </c>
      <c r="J35" s="9">
        <f t="shared" si="54"/>
        <v>0.46735027804062751</v>
      </c>
      <c r="M35" s="9">
        <f t="shared" si="55"/>
        <v>0.3913270364503339</v>
      </c>
      <c r="N35" s="9">
        <f t="shared" si="55"/>
        <v>0.41649798127746801</v>
      </c>
      <c r="O35" s="9">
        <f t="shared" si="55"/>
        <v>0.45925759564753427</v>
      </c>
      <c r="P35" s="9">
        <f t="shared" si="55"/>
        <v>0.46935651350380808</v>
      </c>
      <c r="Q35" s="9">
        <f t="shared" si="55"/>
        <v>0.47914714496512362</v>
      </c>
      <c r="R35" s="9">
        <f t="shared" si="55"/>
        <v>0.48111232240318863</v>
      </c>
      <c r="S35" s="9">
        <f t="shared" si="55"/>
        <v>0.48272765823268171</v>
      </c>
      <c r="T35" s="9">
        <f t="shared" si="55"/>
        <v>0.48402651432553656</v>
      </c>
      <c r="U35" s="9">
        <f t="shared" ref="U35:V35" si="60">U13/U6</f>
        <v>0.48504031132944819</v>
      </c>
      <c r="V35" s="9">
        <f t="shared" si="60"/>
        <v>0.48579851759642229</v>
      </c>
    </row>
    <row r="36" spans="2:22" x14ac:dyDescent="0.2">
      <c r="B36" s="3" t="s">
        <v>48</v>
      </c>
      <c r="C36" s="9">
        <f t="shared" ref="C36:H36" si="61">C20/C6</f>
        <v>-0.17176058113424345</v>
      </c>
      <c r="D36" s="9">
        <f t="shared" si="61"/>
        <v>-0.2240930551529447</v>
      </c>
      <c r="E36" s="9">
        <f t="shared" si="61"/>
        <v>-0.15705060059550988</v>
      </c>
      <c r="F36" s="9">
        <f t="shared" si="61"/>
        <v>0.15080815069255149</v>
      </c>
      <c r="G36" s="9">
        <f t="shared" si="61"/>
        <v>7.9937746292136208E-2</v>
      </c>
      <c r="H36" s="9">
        <f t="shared" si="61"/>
        <v>9.1680933952695096E-2</v>
      </c>
      <c r="I36" s="9">
        <f>I20/I6</f>
        <v>-3.8590186359121349E-2</v>
      </c>
      <c r="J36" s="9">
        <f>J20/J6</f>
        <v>0.14764630029671036</v>
      </c>
      <c r="M36" s="9">
        <f t="shared" ref="M36:T36" si="62">M20/M6</f>
        <v>-0.15901856217711569</v>
      </c>
      <c r="N36" s="9">
        <f t="shared" si="62"/>
        <v>-9.097123184846545E-2</v>
      </c>
      <c r="O36" s="9">
        <f t="shared" si="62"/>
        <v>7.1752741602883099E-2</v>
      </c>
      <c r="P36" s="9">
        <f t="shared" si="62"/>
        <v>0.11178664336262384</v>
      </c>
      <c r="Q36" s="9">
        <f t="shared" si="62"/>
        <v>0.14639403053894809</v>
      </c>
      <c r="R36" s="9">
        <f t="shared" si="62"/>
        <v>0.17450577620561927</v>
      </c>
      <c r="S36" s="9">
        <f t="shared" si="62"/>
        <v>0.2003882903150058</v>
      </c>
      <c r="T36" s="9">
        <f t="shared" si="62"/>
        <v>0.22418757531468345</v>
      </c>
      <c r="U36" s="9">
        <f t="shared" ref="U36:V36" si="63">U20/U6</f>
        <v>0.24604365382724436</v>
      </c>
      <c r="V36" s="9">
        <f t="shared" si="63"/>
        <v>0.26609038368378585</v>
      </c>
    </row>
    <row r="38" spans="2:22" x14ac:dyDescent="0.2">
      <c r="B38" s="3" t="s">
        <v>57</v>
      </c>
      <c r="C38" s="4"/>
      <c r="D38" s="4"/>
      <c r="E38" s="4">
        <v>19100</v>
      </c>
      <c r="F38" s="4"/>
      <c r="G38" s="4"/>
      <c r="H38" s="4"/>
      <c r="I38" s="4">
        <v>20100</v>
      </c>
      <c r="J38" s="4"/>
      <c r="K38" s="4"/>
      <c r="L38" s="4"/>
      <c r="M38" s="4"/>
      <c r="N38" s="4"/>
      <c r="O38" s="4"/>
      <c r="P38" s="4"/>
      <c r="Q38" s="4"/>
      <c r="R38" s="4"/>
      <c r="S38" s="4"/>
      <c r="T38" s="4"/>
      <c r="U38" s="4"/>
      <c r="V38" s="4"/>
    </row>
    <row r="39" spans="2:22" x14ac:dyDescent="0.2">
      <c r="B39" s="3" t="s">
        <v>58</v>
      </c>
      <c r="C39" s="4"/>
      <c r="D39" s="4"/>
      <c r="E39" s="4">
        <v>2000</v>
      </c>
      <c r="F39" s="4"/>
      <c r="G39" s="4"/>
      <c r="H39" s="4"/>
      <c r="I39" s="4">
        <v>2200</v>
      </c>
      <c r="J39" s="4"/>
      <c r="K39" s="4"/>
      <c r="L39" s="4"/>
      <c r="M39" s="4"/>
      <c r="N39" s="4"/>
      <c r="O39" s="4"/>
      <c r="P39" s="4"/>
      <c r="Q39" s="4"/>
      <c r="R39" s="4"/>
      <c r="S39" s="4"/>
      <c r="T39" s="4"/>
      <c r="U39" s="4"/>
      <c r="V39" s="4"/>
    </row>
    <row r="41" spans="2:22" x14ac:dyDescent="0.2">
      <c r="B41" s="3" t="s">
        <v>59</v>
      </c>
      <c r="E41" s="3">
        <v>568.20000000000005</v>
      </c>
      <c r="F41" s="3">
        <v>485.5</v>
      </c>
      <c r="G41" s="3">
        <v>491.6</v>
      </c>
      <c r="H41" s="3">
        <v>544.5</v>
      </c>
      <c r="I41" s="3">
        <v>544.1</v>
      </c>
    </row>
    <row r="42" spans="2:22" x14ac:dyDescent="0.2">
      <c r="B42" s="3" t="s">
        <v>60</v>
      </c>
      <c r="E42" s="6">
        <v>9.0999999999999998E-2</v>
      </c>
      <c r="F42" s="5">
        <v>0.09</v>
      </c>
      <c r="G42" s="6">
        <v>7.6999999999999999E-2</v>
      </c>
      <c r="H42" s="6">
        <v>7.9000000000000001E-2</v>
      </c>
      <c r="I42" s="6">
        <v>7.4999999999999997E-2</v>
      </c>
    </row>
    <row r="44" spans="2:22" x14ac:dyDescent="0.2">
      <c r="B44" s="3" t="s">
        <v>50</v>
      </c>
      <c r="C44" s="3">
        <v>-723.65099999999995</v>
      </c>
      <c r="D44" s="3">
        <v>-1209.1210000000001</v>
      </c>
      <c r="E44" s="3">
        <v>-1375.383</v>
      </c>
      <c r="F44" s="3">
        <v>319.69099999999997</v>
      </c>
      <c r="G44" s="3">
        <v>605.53599999999994</v>
      </c>
      <c r="H44" s="3">
        <v>1201.0160000000001</v>
      </c>
      <c r="I44" s="3">
        <v>1800.855</v>
      </c>
      <c r="M44" s="3">
        <v>208.649</v>
      </c>
      <c r="N44" s="3">
        <v>1055.692</v>
      </c>
    </row>
    <row r="46" spans="2:22" x14ac:dyDescent="0.2">
      <c r="B46" s="3" t="s">
        <v>51</v>
      </c>
      <c r="M46" s="3">
        <f>9247.762+1551.635+911.281+1052.861+38.743-100-3475.708</f>
        <v>9226.5740000000005</v>
      </c>
      <c r="N46" s="3">
        <f>6029.859+1549.574+864.258+1253.593+21.663-88.41-3338.75</f>
        <v>6291.7870000000021</v>
      </c>
    </row>
  </sheetData>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2B57E-6D76-4B12-8987-A280350D7641}">
  <dimension ref="A1:H11"/>
  <sheetViews>
    <sheetView workbookViewId="0">
      <selection activeCell="K6" sqref="K6"/>
    </sheetView>
  </sheetViews>
  <sheetFormatPr defaultRowHeight="15" x14ac:dyDescent="0.25"/>
  <cols>
    <col min="1" max="1" width="27.140625" bestFit="1" customWidth="1"/>
  </cols>
  <sheetData>
    <row r="1" spans="1:8" x14ac:dyDescent="0.25">
      <c r="A1" t="s">
        <v>63</v>
      </c>
      <c r="B1" t="s">
        <v>8</v>
      </c>
      <c r="C1" t="s">
        <v>9</v>
      </c>
      <c r="D1" t="s">
        <v>10</v>
      </c>
      <c r="E1" t="s">
        <v>11</v>
      </c>
      <c r="F1" t="s">
        <v>12</v>
      </c>
      <c r="G1" t="s">
        <v>13</v>
      </c>
      <c r="H1" t="s">
        <v>14</v>
      </c>
    </row>
    <row r="2" spans="1:8" x14ac:dyDescent="0.25">
      <c r="A2" t="s">
        <v>61</v>
      </c>
      <c r="B2" s="1">
        <v>1100</v>
      </c>
      <c r="C2" s="1">
        <v>900.3</v>
      </c>
      <c r="D2" s="1">
        <v>892.9</v>
      </c>
      <c r="E2" s="1">
        <v>948.9</v>
      </c>
      <c r="F2" s="1">
        <v>539.70000000000005</v>
      </c>
      <c r="G2" s="1">
        <v>529.4</v>
      </c>
      <c r="H2" s="1">
        <v>592.20000000000005</v>
      </c>
    </row>
    <row r="3" spans="1:8" x14ac:dyDescent="0.25">
      <c r="A3" t="s">
        <v>17</v>
      </c>
      <c r="B3" s="1">
        <v>1500</v>
      </c>
      <c r="C3" s="1">
        <v>1700</v>
      </c>
      <c r="D3" s="1">
        <v>1900</v>
      </c>
      <c r="E3" s="1">
        <v>1800</v>
      </c>
      <c r="F3" s="1">
        <v>2100</v>
      </c>
      <c r="G3" s="1">
        <v>2100</v>
      </c>
      <c r="H3" s="1">
        <v>2200</v>
      </c>
    </row>
    <row r="4" spans="1:8" x14ac:dyDescent="0.25">
      <c r="A4" t="s">
        <v>62</v>
      </c>
      <c r="B4" s="1">
        <v>236</v>
      </c>
      <c r="C4" s="1">
        <v>279</v>
      </c>
      <c r="D4" s="1">
        <v>326.89999999999998</v>
      </c>
      <c r="E4" s="1">
        <v>380.2</v>
      </c>
      <c r="F4" s="1">
        <v>412.8</v>
      </c>
      <c r="G4" s="1">
        <v>427.9</v>
      </c>
      <c r="H4" s="1">
        <v>446.2</v>
      </c>
    </row>
    <row r="7" spans="1:8" x14ac:dyDescent="0.25">
      <c r="A7" t="s">
        <v>64</v>
      </c>
      <c r="B7" t="s">
        <v>8</v>
      </c>
      <c r="C7" t="s">
        <v>9</v>
      </c>
      <c r="D7" t="s">
        <v>10</v>
      </c>
      <c r="E7" t="s">
        <v>11</v>
      </c>
      <c r="F7" t="s">
        <v>12</v>
      </c>
      <c r="G7" t="s">
        <v>13</v>
      </c>
      <c r="H7" t="s">
        <v>14</v>
      </c>
    </row>
    <row r="8" spans="1:8" x14ac:dyDescent="0.25">
      <c r="A8" t="s">
        <v>61</v>
      </c>
      <c r="B8">
        <v>431.4</v>
      </c>
      <c r="C8">
        <v>333.6</v>
      </c>
      <c r="D8">
        <v>289.89999999999998</v>
      </c>
      <c r="E8">
        <v>258.2</v>
      </c>
      <c r="F8">
        <v>230.1</v>
      </c>
      <c r="G8">
        <v>239.5</v>
      </c>
      <c r="H8">
        <v>234</v>
      </c>
    </row>
    <row r="9" spans="1:8" x14ac:dyDescent="0.25">
      <c r="A9" t="s">
        <v>17</v>
      </c>
      <c r="B9">
        <v>-742.8</v>
      </c>
      <c r="C9">
        <v>-648.1</v>
      </c>
      <c r="D9">
        <v>-495.7</v>
      </c>
      <c r="E9">
        <v>196.1</v>
      </c>
      <c r="F9">
        <v>207.7</v>
      </c>
      <c r="G9">
        <v>150.30000000000001</v>
      </c>
      <c r="H9">
        <v>-346.5</v>
      </c>
    </row>
    <row r="10" spans="1:8" x14ac:dyDescent="0.25">
      <c r="A10" t="s">
        <v>62</v>
      </c>
      <c r="B10">
        <v>-124.9</v>
      </c>
      <c r="C10">
        <v>-111.5</v>
      </c>
      <c r="D10">
        <v>-67.7</v>
      </c>
      <c r="E10">
        <v>75.599999999999994</v>
      </c>
      <c r="F10">
        <v>98.9</v>
      </c>
      <c r="G10">
        <v>137</v>
      </c>
      <c r="H10">
        <v>165.7</v>
      </c>
    </row>
    <row r="11" spans="1:8" x14ac:dyDescent="0.25">
      <c r="A11" t="s">
        <v>65</v>
      </c>
      <c r="B11">
        <f>B8+B9+B10</f>
        <v>-436.29999999999995</v>
      </c>
      <c r="C11">
        <f t="shared" ref="C11:H11" si="0">C8+C9+C10</f>
        <v>-426</v>
      </c>
      <c r="D11">
        <f t="shared" si="0"/>
        <v>-273.5</v>
      </c>
      <c r="E11">
        <f t="shared" si="0"/>
        <v>529.9</v>
      </c>
      <c r="F11">
        <f t="shared" si="0"/>
        <v>536.69999999999993</v>
      </c>
      <c r="G11">
        <f t="shared" si="0"/>
        <v>526.79999999999995</v>
      </c>
      <c r="H11">
        <f t="shared" si="0"/>
        <v>53.199999999999989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Graphs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alexandreduartemorais@gmail.com</cp:lastModifiedBy>
  <dcterms:created xsi:type="dcterms:W3CDTF">2024-02-13T14:51:47Z</dcterms:created>
  <dcterms:modified xsi:type="dcterms:W3CDTF">2024-09-02T15:01:13Z</dcterms:modified>
</cp:coreProperties>
</file>