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Desktop/Models/"/>
    </mc:Choice>
  </mc:AlternateContent>
  <xr:revisionPtr revIDLastSave="606" documentId="8_{B3E68F63-8468-4038-97B9-97373A13061C}" xr6:coauthVersionLast="47" xr6:coauthVersionMax="47" xr10:uidLastSave="{FA53CF32-2CFB-4269-969B-9E5AECA1A890}"/>
  <bookViews>
    <workbookView xWindow="14295" yWindow="0" windowWidth="14610" windowHeight="15585" activeTab="1" xr2:uid="{C306D43F-BF60-4534-8D58-79BA383ED9CC}"/>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14" i="2" l="1"/>
  <c r="N122" i="2"/>
  <c r="M122" i="2"/>
  <c r="O122" i="2"/>
  <c r="N85" i="2"/>
  <c r="N83" i="2"/>
  <c r="N61" i="2"/>
  <c r="G3" i="1" a="1"/>
  <c r="G3" i="1" s="1"/>
  <c r="O83" i="2"/>
  <c r="O85" i="2" s="1"/>
  <c r="O61" i="2"/>
  <c r="P18" i="2"/>
  <c r="N3" i="2"/>
  <c r="O3" i="2"/>
  <c r="O33" i="2" s="1"/>
  <c r="I33" i="2"/>
  <c r="H33" i="2"/>
  <c r="G33" i="2"/>
  <c r="J33" i="2"/>
  <c r="M27" i="2"/>
  <c r="M26" i="2"/>
  <c r="M25" i="2"/>
  <c r="M24" i="2"/>
  <c r="L12" i="2"/>
  <c r="L14" i="2" s="1"/>
  <c r="J27" i="2"/>
  <c r="J26" i="2"/>
  <c r="J25" i="2"/>
  <c r="J24" i="2"/>
  <c r="L30" i="2" l="1"/>
  <c r="L20" i="2"/>
  <c r="C2" i="1" a="1"/>
  <c r="C2" i="1" s="1"/>
  <c r="O19" i="2"/>
  <c r="S19" i="2" s="1"/>
  <c r="O18" i="2"/>
  <c r="O17" i="2"/>
  <c r="P17" i="2" s="1"/>
  <c r="Q17" i="2" s="1"/>
  <c r="R17" i="2" s="1"/>
  <c r="S17" i="2" s="1"/>
  <c r="T17" i="2" s="1"/>
  <c r="U17" i="2" s="1"/>
  <c r="O16" i="2"/>
  <c r="O15" i="2"/>
  <c r="P15" i="2" s="1"/>
  <c r="Q15" i="2" s="1"/>
  <c r="R15" i="2" s="1"/>
  <c r="S15" i="2" s="1"/>
  <c r="T15" i="2" s="1"/>
  <c r="U15" i="2" s="1"/>
  <c r="O11" i="2"/>
  <c r="P11" i="2" s="1"/>
  <c r="O10" i="2"/>
  <c r="P10" i="2" s="1"/>
  <c r="O9" i="2"/>
  <c r="P9" i="2" s="1"/>
  <c r="O8" i="2"/>
  <c r="O24" i="2" s="1"/>
  <c r="J12" i="2"/>
  <c r="J28" i="2" s="1"/>
  <c r="N19" i="2"/>
  <c r="N18" i="2"/>
  <c r="N17" i="2"/>
  <c r="N16" i="2"/>
  <c r="N15" i="2"/>
  <c r="N13" i="2"/>
  <c r="N11" i="2"/>
  <c r="N27" i="2" s="1"/>
  <c r="N10" i="2"/>
  <c r="N26" i="2" s="1"/>
  <c r="N9" i="2"/>
  <c r="N8" i="2"/>
  <c r="N24" i="2" s="1"/>
  <c r="M12" i="2"/>
  <c r="N2" i="2"/>
  <c r="O2" i="2" s="1"/>
  <c r="P2" i="2" s="1"/>
  <c r="Q2" i="2" s="1"/>
  <c r="R2" i="2" s="1"/>
  <c r="S2" i="2" s="1"/>
  <c r="T2" i="2" s="1"/>
  <c r="U2" i="2" s="1"/>
  <c r="H31" i="2"/>
  <c r="G31" i="2"/>
  <c r="C31" i="2"/>
  <c r="C30" i="2"/>
  <c r="G27" i="2"/>
  <c r="G26" i="2"/>
  <c r="G25" i="2"/>
  <c r="G24" i="2"/>
  <c r="D21" i="2"/>
  <c r="N21" i="2" s="1"/>
  <c r="H21" i="2"/>
  <c r="H27" i="2"/>
  <c r="H26" i="2"/>
  <c r="H25" i="2"/>
  <c r="H24" i="2"/>
  <c r="I27" i="2"/>
  <c r="I26" i="2"/>
  <c r="I25" i="2"/>
  <c r="I24" i="2"/>
  <c r="E21" i="2"/>
  <c r="I21" i="2"/>
  <c r="H12" i="2"/>
  <c r="H14" i="2" s="1"/>
  <c r="H20" i="2" s="1"/>
  <c r="G12" i="2"/>
  <c r="G14" i="2" s="1"/>
  <c r="G20" i="2" s="1"/>
  <c r="G22" i="2" s="1"/>
  <c r="F12" i="2"/>
  <c r="F14" i="2" s="1"/>
  <c r="F20" i="2" s="1"/>
  <c r="F22" i="2" s="1"/>
  <c r="E12" i="2"/>
  <c r="E14" i="2" s="1"/>
  <c r="E20" i="2" s="1"/>
  <c r="E31" i="2" s="1"/>
  <c r="D12" i="2"/>
  <c r="D14" i="2" s="1"/>
  <c r="D20" i="2" s="1"/>
  <c r="D31" i="2" s="1"/>
  <c r="C12" i="2"/>
  <c r="C14" i="2" s="1"/>
  <c r="C20" i="2" s="1"/>
  <c r="C22" i="2" s="1"/>
  <c r="I12" i="2"/>
  <c r="G5" i="1"/>
  <c r="N86" i="2" l="1"/>
  <c r="O86" i="2"/>
  <c r="N12" i="2"/>
  <c r="N28" i="2" s="1"/>
  <c r="N25" i="2"/>
  <c r="G30" i="2"/>
  <c r="M14" i="2"/>
  <c r="M28" i="2"/>
  <c r="O25" i="2"/>
  <c r="E30" i="2"/>
  <c r="L22" i="2"/>
  <c r="L31" i="2"/>
  <c r="D30" i="2"/>
  <c r="F30" i="2"/>
  <c r="H30" i="2"/>
  <c r="I28" i="2"/>
  <c r="H28" i="2"/>
  <c r="F31" i="2"/>
  <c r="G7" i="1"/>
  <c r="G6" i="1"/>
  <c r="Q11" i="2"/>
  <c r="P27" i="2"/>
  <c r="O27" i="2"/>
  <c r="Q10" i="2"/>
  <c r="P26" i="2"/>
  <c r="O26" i="2"/>
  <c r="Q9" i="2"/>
  <c r="P25" i="2"/>
  <c r="O12" i="2"/>
  <c r="O28" i="2" s="1"/>
  <c r="P8" i="2"/>
  <c r="N14" i="2"/>
  <c r="G28" i="2"/>
  <c r="D22" i="2"/>
  <c r="H22" i="2"/>
  <c r="I14" i="2"/>
  <c r="E22" i="2"/>
  <c r="N20" i="2" l="1"/>
  <c r="N30" i="2"/>
  <c r="M20" i="2"/>
  <c r="M30" i="2"/>
  <c r="G8" i="1"/>
  <c r="G10" i="1" s="1"/>
  <c r="R11" i="2"/>
  <c r="Q27" i="2"/>
  <c r="Q26" i="2"/>
  <c r="R10" i="2"/>
  <c r="R9" i="2"/>
  <c r="Q25" i="2"/>
  <c r="J14" i="2"/>
  <c r="J30" i="2" s="1"/>
  <c r="O13" i="2"/>
  <c r="Q8" i="2"/>
  <c r="P12" i="2"/>
  <c r="P13" i="2" s="1"/>
  <c r="P24" i="2"/>
  <c r="I20" i="2"/>
  <c r="I30" i="2"/>
  <c r="M22" i="2" l="1"/>
  <c r="M31" i="2"/>
  <c r="N22" i="2"/>
  <c r="N31" i="2"/>
  <c r="S11" i="2"/>
  <c r="R27" i="2"/>
  <c r="S10" i="2"/>
  <c r="R26" i="2"/>
  <c r="S9" i="2"/>
  <c r="R25" i="2"/>
  <c r="P16" i="2"/>
  <c r="P14" i="2"/>
  <c r="P20" i="2" s="1"/>
  <c r="P28" i="2"/>
  <c r="R8" i="2"/>
  <c r="Q24" i="2"/>
  <c r="Q12" i="2"/>
  <c r="Q13" i="2" s="1"/>
  <c r="J20" i="2"/>
  <c r="O14" i="2"/>
  <c r="I22" i="2"/>
  <c r="I31" i="2"/>
  <c r="O21" i="2" l="1"/>
  <c r="J31" i="2"/>
  <c r="T11" i="2"/>
  <c r="S27" i="2"/>
  <c r="T10" i="2"/>
  <c r="S26" i="2"/>
  <c r="T9" i="2"/>
  <c r="S25" i="2"/>
  <c r="P30" i="2"/>
  <c r="O30" i="2"/>
  <c r="O20" i="2"/>
  <c r="O31" i="2" s="1"/>
  <c r="Q16" i="2"/>
  <c r="Q14" i="2"/>
  <c r="Q28" i="2"/>
  <c r="R24" i="2"/>
  <c r="R12" i="2"/>
  <c r="R13" i="2" s="1"/>
  <c r="S8" i="2"/>
  <c r="J22" i="2"/>
  <c r="U11" i="2" l="1"/>
  <c r="U27" i="2" s="1"/>
  <c r="T27" i="2"/>
  <c r="U10" i="2"/>
  <c r="U26" i="2" s="1"/>
  <c r="T26" i="2"/>
  <c r="O22" i="2"/>
  <c r="U9" i="2"/>
  <c r="U25" i="2" s="1"/>
  <c r="T25" i="2"/>
  <c r="R16" i="2"/>
  <c r="R14" i="2"/>
  <c r="R28" i="2"/>
  <c r="S24" i="2"/>
  <c r="T8" i="2"/>
  <c r="S12" i="2"/>
  <c r="S13" i="2" s="1"/>
  <c r="Q30" i="2"/>
  <c r="P21" i="2"/>
  <c r="P22" i="2" s="1"/>
  <c r="P31" i="2"/>
  <c r="P36" i="2" l="1"/>
  <c r="Q18" i="2" s="1"/>
  <c r="S14" i="2"/>
  <c r="S16" i="2"/>
  <c r="S28" i="2"/>
  <c r="T24" i="2"/>
  <c r="T12" i="2"/>
  <c r="T13" i="2" s="1"/>
  <c r="U8" i="2"/>
  <c r="R30" i="2"/>
  <c r="Q20" i="2" l="1"/>
  <c r="Q21" i="2" s="1"/>
  <c r="Q22" i="2" s="1"/>
  <c r="Q36" i="2" s="1"/>
  <c r="R18" i="2" s="1"/>
  <c r="R20" i="2" s="1"/>
  <c r="U12" i="2"/>
  <c r="U13" i="2" s="1"/>
  <c r="U24" i="2"/>
  <c r="T16" i="2"/>
  <c r="T28" i="2"/>
  <c r="T14" i="2"/>
  <c r="S30" i="2"/>
  <c r="R21" i="2" l="1"/>
  <c r="R22" i="2" s="1"/>
  <c r="R36" i="2" s="1"/>
  <c r="S18" i="2" s="1"/>
  <c r="S20" i="2" s="1"/>
  <c r="S21" i="2" s="1"/>
  <c r="S22" i="2" s="1"/>
  <c r="R31" i="2"/>
  <c r="Q31" i="2"/>
  <c r="T30" i="2"/>
  <c r="U16" i="2"/>
  <c r="U14" i="2"/>
  <c r="U28" i="2"/>
  <c r="S31" i="2" l="1"/>
  <c r="S36" i="2"/>
  <c r="T18" i="2" s="1"/>
  <c r="T20" i="2" s="1"/>
  <c r="U30" i="2"/>
  <c r="T21" i="2"/>
  <c r="T22" i="2" s="1"/>
  <c r="T31" i="2"/>
  <c r="T36" i="2" l="1"/>
  <c r="U18" i="2" s="1"/>
  <c r="U20" i="2" l="1"/>
  <c r="U31" i="2" s="1"/>
  <c r="U21" i="2" l="1"/>
  <c r="U22" i="2" s="1"/>
  <c r="V22" i="2" l="1"/>
  <c r="W22" i="2" s="1"/>
  <c r="X22" i="2" s="1"/>
  <c r="Y22" i="2" s="1"/>
  <c r="Z22" i="2" s="1"/>
  <c r="AA22" i="2" s="1"/>
  <c r="AB22" i="2" s="1"/>
  <c r="AC22" i="2" s="1"/>
  <c r="AD22" i="2" s="1"/>
  <c r="AE22" i="2" s="1"/>
  <c r="AF22" i="2" s="1"/>
  <c r="AG22" i="2" s="1"/>
  <c r="AH22" i="2" s="1"/>
  <c r="AI22" i="2" s="1"/>
  <c r="AJ22" i="2" s="1"/>
  <c r="AK22" i="2" s="1"/>
  <c r="AL22" i="2" s="1"/>
  <c r="AM22" i="2" s="1"/>
  <c r="AN22" i="2" s="1"/>
  <c r="X7" i="2" s="1"/>
  <c r="X9" i="2" s="1"/>
  <c r="X10" i="2" s="1"/>
  <c r="U36"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1"/>
        </ext>
      </extLst>
    </bk>
    <bk>
      <extLst>
        <ext uri="{3e2802c4-a4d2-4d8b-9148-e3be6c30e623}">
          <xlrd:rvb i="4"/>
        </ext>
      </extLst>
    </bk>
  </futureMetadata>
  <cellMetadata count="1">
    <bk>
      <rc t="1" v="0"/>
    </bk>
  </cellMetadata>
  <valueMetadata count="2">
    <bk>
      <rc t="2" v="0"/>
    </bk>
    <bk>
      <rc t="2" v="1"/>
    </bk>
  </valueMetadata>
</metadata>
</file>

<file path=xl/sharedStrings.xml><?xml version="1.0" encoding="utf-8"?>
<sst xmlns="http://schemas.openxmlformats.org/spreadsheetml/2006/main" count="163" uniqueCount="133">
  <si>
    <t>Ticket</t>
  </si>
  <si>
    <t>Price</t>
  </si>
  <si>
    <t>Shares</t>
  </si>
  <si>
    <t>MC</t>
  </si>
  <si>
    <t>Cash</t>
  </si>
  <si>
    <t>Debt</t>
  </si>
  <si>
    <t>EV</t>
  </si>
  <si>
    <t>Transactions</t>
  </si>
  <si>
    <t>Subscription services</t>
  </si>
  <si>
    <t>Financial Income</t>
  </si>
  <si>
    <t>Other Financial Income</t>
  </si>
  <si>
    <t>Q1 2023</t>
  </si>
  <si>
    <t>Q2 2023</t>
  </si>
  <si>
    <t>Q3 2024</t>
  </si>
  <si>
    <t>Q4 2024</t>
  </si>
  <si>
    <t>Q3 2023</t>
  </si>
  <si>
    <t>Q4 2023</t>
  </si>
  <si>
    <t>Q1 2024</t>
  </si>
  <si>
    <t>Q2 2024</t>
  </si>
  <si>
    <t>Revenue</t>
  </si>
  <si>
    <t>COGS</t>
  </si>
  <si>
    <t>Gross Profit</t>
  </si>
  <si>
    <t>G&amp;A</t>
  </si>
  <si>
    <t>S&amp;M</t>
  </si>
  <si>
    <t>Financial expenses</t>
  </si>
  <si>
    <t>Other income</t>
  </si>
  <si>
    <t>investment gains</t>
  </si>
  <si>
    <t>Pretax Income</t>
  </si>
  <si>
    <t>Taxes</t>
  </si>
  <si>
    <t>Net Income</t>
  </si>
  <si>
    <t>Revenue y/y</t>
  </si>
  <si>
    <t>Clients</t>
  </si>
  <si>
    <t>TPV</t>
  </si>
  <si>
    <t>Credit Portfolio</t>
  </si>
  <si>
    <t>( R$ millions)</t>
  </si>
  <si>
    <t>Gross Margin</t>
  </si>
  <si>
    <t>Pretax Margin</t>
  </si>
  <si>
    <t>Discount</t>
  </si>
  <si>
    <t>Maturity</t>
  </si>
  <si>
    <t>NPV</t>
  </si>
  <si>
    <t>Price USD</t>
  </si>
  <si>
    <t>Clients y/y</t>
  </si>
  <si>
    <t>Credit Portfolio y/y</t>
  </si>
  <si>
    <t>ROIC</t>
  </si>
  <si>
    <t>Net Cash</t>
  </si>
  <si>
    <t>Assets</t>
  </si>
  <si>
    <t>Current assets</t>
  </si>
  <si>
    <t>Cash and cash equivalents</t>
  </si>
  <si>
    <t>Short-term investments</t>
  </si>
  <si>
    <t>Financial assets from banking solutions</t>
  </si>
  <si>
    <t>Accounts receivable from card issuers</t>
  </si>
  <si>
    <t>Trade accounts receivable</t>
  </si>
  <si>
    <t>Credit portfolio</t>
  </si>
  <si>
    <t>Recoverable taxes</t>
  </si>
  <si>
    <t>Derivative financial instruments</t>
  </si>
  <si>
    <t>Other assets</t>
  </si>
  <si>
    <t>Non-current assets</t>
  </si>
  <si>
    <t>Long-term investments</t>
  </si>
  <si>
    <t>Receivables from related parties</t>
  </si>
  <si>
    <t>Deferred tax assets</t>
  </si>
  <si>
    <t>Investment in associates</t>
  </si>
  <si>
    <t>Property and equipment</t>
  </si>
  <si>
    <t>Intangible assets</t>
  </si>
  <si>
    <t>Total assets</t>
  </si>
  <si>
    <t>Liabilities and equity</t>
  </si>
  <si>
    <t>Current liabilities</t>
  </si>
  <si>
    <t>Retail deposits</t>
  </si>
  <si>
    <t>Accounts payable to clients</t>
  </si>
  <si>
    <t>Trade accounts payable</t>
  </si>
  <si>
    <t>Institutional deposits and marketable debt securities</t>
  </si>
  <si>
    <t>Other debt instruments</t>
  </si>
  <si>
    <t>Labor and social security liabilities</t>
  </si>
  <si>
    <t>Taxes payable</t>
  </si>
  <si>
    <t>Other liabilities</t>
  </si>
  <si>
    <t>Non-current liabilities</t>
  </si>
  <si>
    <t>Deferred tax liabilities</t>
  </si>
  <si>
    <t>Provision for contingencies</t>
  </si>
  <si>
    <t>Total Liabilities</t>
  </si>
  <si>
    <t>S/E</t>
  </si>
  <si>
    <t>S/E USD</t>
  </si>
  <si>
    <t>EV/B</t>
  </si>
  <si>
    <t>Operating activities</t>
  </si>
  <si>
    <t>Net income (loss) for the year</t>
  </si>
  <si>
    <t>Adjustments to reconcile net income (loss) for the year to net cash flows:</t>
  </si>
  <si>
    <t>Depreciation and amortization</t>
  </si>
  <si>
    <t>Deferred income tax and social contribution</t>
  </si>
  <si>
    <t>Loss on investment in associates</t>
  </si>
  <si>
    <t>—</t>
  </si>
  <si>
    <t>Accrued interest, monetary and exchange variations, net</t>
  </si>
  <si>
    <t>Share-based payments expense</t>
  </si>
  <si>
    <t>Allowance for expected credit losses</t>
  </si>
  <si>
    <t>Loss on disposal of property, equipment and intangible assets</t>
  </si>
  <si>
    <t>Software business goodwill impairment loss</t>
  </si>
  <si>
    <t>Effect of applying hyperinflation accounting</t>
  </si>
  <si>
    <t>Loss on sale of subsidiary</t>
  </si>
  <si>
    <t>Fair value adjustment in financial instruments at FVPL</t>
  </si>
  <si>
    <t>Fair value adjustment in derivatives</t>
  </si>
  <si>
    <t>Remeasurement of previously held interest on business combination</t>
  </si>
  <si>
    <t>Others</t>
  </si>
  <si>
    <t>Working capital adjustments:</t>
  </si>
  <si>
    <t>Prepaid expenses</t>
  </si>
  <si>
    <t>Trade accounts receivable, banking solutions and other assets</t>
  </si>
  <si>
    <t>Payment of contingencies</t>
  </si>
  <si>
    <t>Trade accounts payable and other liabilities</t>
  </si>
  <si>
    <t>Interest paid</t>
  </si>
  <si>
    <t>Interest income received, net of costs</t>
  </si>
  <si>
    <t>Income tax paid</t>
  </si>
  <si>
    <t>Net cash provided by (used in) operating activities</t>
  </si>
  <si>
    <t>Purchases and construction of property and equipment</t>
  </si>
  <si>
    <t>Purchases and development of intangible assets</t>
  </si>
  <si>
    <t>Acquisition of subsidiary, net of cash acquired</t>
  </si>
  <si>
    <t>Sale of subsidiary, net of cash disposed</t>
  </si>
  <si>
    <t>Proceeds from (acquisition of) short-term investments, net</t>
  </si>
  <si>
    <t>Acquisition of equity securities</t>
  </si>
  <si>
    <t>Proceeds from disposal of long-term investments – equity securities</t>
  </si>
  <si>
    <t>Proceeds from the disposal of non-current assets</t>
  </si>
  <si>
    <t>Payment for interest in subsidiaries acquired</t>
  </si>
  <si>
    <t>Net cash provided by (used in) investing activities</t>
  </si>
  <si>
    <t>Financing activities</t>
  </si>
  <si>
    <t>Proceeds from institutional deposits and marketable debt securities</t>
  </si>
  <si>
    <t>Payment of institutional deposits and marketable debt securities</t>
  </si>
  <si>
    <t>Proceeds from other debt instruments, except lease</t>
  </si>
  <si>
    <t>Payment to other debt instruments, except lease</t>
  </si>
  <si>
    <t>Payment of principal portion of leases liabilities</t>
  </si>
  <si>
    <t>Payment of derivative financial instruments designated for hedge accounting</t>
  </si>
  <si>
    <t>Repurchase of own shares</t>
  </si>
  <si>
    <t>Sale of own shares</t>
  </si>
  <si>
    <t>Acquisition of non-controlling interests</t>
  </si>
  <si>
    <t>Dividends paid to non-controlling interests</t>
  </si>
  <si>
    <t>Net cash provided by (used in) financing activities</t>
  </si>
  <si>
    <t>Effect of foreign exchange on cash and cash equivalents</t>
  </si>
  <si>
    <t>Change in cash and cash equivalents</t>
  </si>
  <si>
    <t>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</si>
</sst>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164" formatCode="_([$$-409]* #,##0.00_);_([$$-409]* \(#,##0.00\);_([$$-409]* &quot;-&quot;??_);_(@_)"/>
    <numFmt numFmtId="165" formatCode="_-[$R$-416]\ * #,##0.00_-;\-[$R$-416]\ * #,##0.00_-;_-[$R$-416]\ * &quot;-&quot;??_-;_-@_-"/>
    <numFmt numFmtId="166" formatCode="[$R$-416]\ #,##0.00"/>
    <numFmt numFmtId="167" formatCode="#,##0.0;\(#,##0.0\)"/>
    <numFmt numFmtId="168" formatCode="0.00\x"/>
  </numFmts>
  <fonts count="7" x14ac:knownFonts="1">
    <font>
      <sz val="11"/>
      <color theme="1"/>
      <name val="Aptos Narrow"/>
      <family val="2"/>
      <scheme val="minor"/>
    </font>
    <font>
      <sz val="10"/>
      <color theme="1"/>
      <name val="Arial"/>
      <family val="2"/>
    </font>
    <font>
      <b/>
      <sz val="10"/>
      <color theme="1"/>
      <name val="Arial"/>
      <family val="2"/>
    </font>
    <font>
      <sz val="10"/>
      <name val="Arial"/>
      <family val="2"/>
    </font>
    <font>
      <b/>
      <sz val="10"/>
      <name val="Arial"/>
      <family val="2"/>
    </font>
    <font>
      <u/>
      <sz val="11"/>
      <color theme="10"/>
      <name val="Aptos Narrow"/>
      <family val="2"/>
      <scheme val="minor"/>
    </font>
    <font>
      <u/>
      <sz val="10"/>
      <color theme="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1" fillId="0" borderId="0" xfId="0" applyFont="1"/>
    <xf numFmtId="164" fontId="1" fillId="0" borderId="0" xfId="0" applyNumberFormat="1" applyFont="1"/>
    <xf numFmtId="3" fontId="1" fillId="0" borderId="0" xfId="0" applyNumberFormat="1" applyFont="1"/>
    <xf numFmtId="0" fontId="2" fillId="0" borderId="0" xfId="0" applyFont="1"/>
    <xf numFmtId="3" fontId="2" fillId="0" borderId="0" xfId="0" applyNumberFormat="1" applyFont="1"/>
    <xf numFmtId="9" fontId="1" fillId="0" borderId="0" xfId="0" applyNumberFormat="1" applyFont="1"/>
    <xf numFmtId="9" fontId="2" fillId="0" borderId="0" xfId="0" applyNumberFormat="1" applyFont="1"/>
    <xf numFmtId="8" fontId="1" fillId="0" borderId="0" xfId="0" applyNumberFormat="1" applyFont="1"/>
    <xf numFmtId="165" fontId="1" fillId="0" borderId="0" xfId="0" applyNumberFormat="1" applyFont="1"/>
    <xf numFmtId="166" fontId="1" fillId="0" borderId="0" xfId="0" applyNumberFormat="1" applyFont="1"/>
    <xf numFmtId="167" fontId="1" fillId="0" borderId="0" xfId="0" applyNumberFormat="1" applyFont="1" applyAlignment="1">
      <alignment horizontal="right" vertical="top"/>
    </xf>
    <xf numFmtId="167" fontId="1" fillId="2" borderId="0" xfId="0" applyNumberFormat="1" applyFont="1" applyFill="1" applyAlignment="1">
      <alignment horizontal="right" vertical="top"/>
    </xf>
    <xf numFmtId="0" fontId="3" fillId="0" borderId="0" xfId="0" applyFont="1" applyAlignment="1">
      <alignment vertical="center"/>
    </xf>
    <xf numFmtId="0" fontId="4" fillId="0" borderId="0" xfId="0" applyFont="1" applyAlignment="1">
      <alignment vertical="center"/>
    </xf>
    <xf numFmtId="168" fontId="1" fillId="0" borderId="0" xfId="0" applyNumberFormat="1" applyFont="1"/>
    <xf numFmtId="0" fontId="6"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9</xdr:col>
      <xdr:colOff>592455</xdr:colOff>
      <xdr:row>0</xdr:row>
      <xdr:rowOff>0</xdr:rowOff>
    </xdr:from>
    <xdr:to>
      <xdr:col>9</xdr:col>
      <xdr:colOff>601980</xdr:colOff>
      <xdr:row>40</xdr:row>
      <xdr:rowOff>28575</xdr:rowOff>
    </xdr:to>
    <xdr:cxnSp macro="">
      <xdr:nvCxnSpPr>
        <xdr:cNvPr id="3" name="Straight Connector 2">
          <a:extLst>
            <a:ext uri="{FF2B5EF4-FFF2-40B4-BE49-F238E27FC236}">
              <a16:creationId xmlns:a16="http://schemas.microsoft.com/office/drawing/2014/main" id="{20010E45-7369-AFCE-B426-089CE609804A}"/>
            </a:ext>
          </a:extLst>
        </xdr:cNvPr>
        <xdr:cNvCxnSpPr/>
      </xdr:nvCxnSpPr>
      <xdr:spPr>
        <a:xfrm flipH="1">
          <a:off x="6886575" y="0"/>
          <a:ext cx="9525" cy="673417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0</xdr:colOff>
      <xdr:row>0</xdr:row>
      <xdr:rowOff>0</xdr:rowOff>
    </xdr:from>
    <xdr:to>
      <xdr:col>15</xdr:col>
      <xdr:colOff>19050</xdr:colOff>
      <xdr:row>89</xdr:row>
      <xdr:rowOff>76200</xdr:rowOff>
    </xdr:to>
    <xdr:cxnSp macro="">
      <xdr:nvCxnSpPr>
        <xdr:cNvPr id="5" name="Straight Connector 4">
          <a:extLst>
            <a:ext uri="{FF2B5EF4-FFF2-40B4-BE49-F238E27FC236}">
              <a16:creationId xmlns:a16="http://schemas.microsoft.com/office/drawing/2014/main" id="{AE3A5091-40B6-6660-DBEB-86131B7ECF5A}"/>
            </a:ext>
          </a:extLst>
        </xdr:cNvPr>
        <xdr:cNvCxnSpPr/>
      </xdr:nvCxnSpPr>
      <xdr:spPr>
        <a:xfrm>
          <a:off x="12601575" y="0"/>
          <a:ext cx="19050" cy="144875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
  <rv s="0">
    <v>en-US</v>
    <v>avylgh</v>
    <v>268435456</v>
    <v>1</v>
    <v>Powered by Refinitiv</v>
    <v>0</v>
    <v>USD/BRL</v>
    <v>2</v>
    <v>3</v>
    <v>Finance</v>
    <v>4</v>
    <v>6.3139000000000003</v>
    <v>4.95</v>
    <v>5.4399999999999997E-2</v>
    <v>9.5779999999999997E-3</v>
    <v>BRL</v>
    <v>USD</v>
    <v>5.7285000000000004</v>
    <v>Currency Pair</v>
    <v>45739.767835648148</v>
    <v>5.7297000000000002</v>
    <v>US Dollar/Brazilian Real FX Spot Rate</v>
    <v>5.7285000000000004</v>
    <v>5.6797000000000004</v>
    <v>5.7285000000000004</v>
    <v>USDBRL</v>
    <v>USD/BRL</v>
  </rv>
  <rv s="1">
    <v>0</v>
  </rv>
  <rv s="2">
    <v>https://www.bing.com/financeapi/forcetrigger?t=bnfphw&amp;q=XNAS%3aSTNE&amp;form=skydnc</v>
    <v>Learn more on Bing</v>
  </rv>
  <rv s="3">
    <v>en-US</v>
    <v>bnfphw</v>
    <v>268435456</v>
    <v>1</v>
    <v>Powered by Refinitiv</v>
    <v>5</v>
    <v>STONECO LTD. (XNAS:STNE)</v>
    <v>6</v>
    <v>7</v>
    <v>Finance</v>
    <v>8</v>
    <v>17.93</v>
    <v>7.7222999999999997</v>
    <v>2.0455000000000001</v>
    <v>-0.08</v>
    <v>6.2519999999999997E-3</v>
    <v>-7.156E-3</v>
    <v>6.9400000000000003E-2</v>
    <v>USD</v>
    <v>StoneCo Ltd. is a provider of financial technology and software solutions. The Company designed its cloud-based technology platform, namely the Stone Business Model, for its clients to connect, get paid, and grow their businesses. Its segments include financial services and software. In financial services, it offers payments, digital banking, and credit solutions, focused mainly on Micro, Small, and Medium Businesses (MSMBs). In software, it offers Point of Sale (POS) and Enterprise Resource Planning (ERP) solutions for different retail and service verticals, Customer Relationship Management (CRM), engagement tools, electronic commerce, and order management system solutions. It also provides digital product enhancements to help its merchants improve their consumers' experience, such as its split-payment processing, multi-payment processing, recurring payments for subscriptions, and one-click buy functionality. It provides its clients with store, life, and health insurance solutions.</v>
    <v>17091</v>
    <v>Nasdaq Stock Market</v>
    <v>XNAS</v>
    <v>XNAS</v>
    <v>4th Floor, Harbour Place, 103 South Church Street, P.O. Box 10240, GRAND CAYMAN, KY1-1002 KY</v>
    <v>11.295</v>
    <v>Financial Technology (Fintech) &amp; Infrastructure</v>
    <v>Stock</v>
    <v>45737.991359258594</v>
    <v>2</v>
    <v>11.01</v>
    <v>3400399000</v>
    <v>STONECO LTD.</v>
    <v>STONECO LTD.</v>
    <v>11.05</v>
    <v>0</v>
    <v>11.18</v>
    <v>11.1</v>
    <v>11.1694</v>
    <v>306342300</v>
    <v>STNE</v>
    <v>STONECO LTD. (XNAS:STNE)</v>
    <v>9174052</v>
    <v>7933563</v>
    <v>2014</v>
  </rv>
  <rv s="1">
    <v>3</v>
  </rv>
</rvData>
</file>

<file path=xl/richData/rdrichvaluestructure.xml><?xml version="1.0" encoding="utf-8"?>
<rvStructures xmlns="http://schemas.microsoft.com/office/spreadsheetml/2017/richdata" count="4">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spb>
    <spb s="1">
      <v>0</v>
      <v>0</v>
      <v>0</v>
    </spb>
    <spb s="2">
      <v>1</v>
      <v>1</v>
    </spb>
    <spb s="3">
      <v>1</v>
      <v>1</v>
      <v>2</v>
      <v>1</v>
      <v>1</v>
      <v>1</v>
      <v>3</v>
      <v>1</v>
      <v>1</v>
      <v>1</v>
      <v>4</v>
      <v>5</v>
    </spb>
    <spb s="4">
      <v>GMT</v>
    </spb>
    <spb s="5">
      <v>1</v>
      <v>Name</v>
      <v>LearnMoreOnLink</v>
    </spb>
    <spb s="6">
      <v>1</v>
      <v>1</v>
      <v>1</v>
      <v>1</v>
    </spb>
    <spb s="7">
      <v>6</v>
      <v>7</v>
      <v>7</v>
      <v>6</v>
      <v>2</v>
      <v>6</v>
      <v>6</v>
      <v>6</v>
      <v>8</v>
      <v>8</v>
      <v>3</v>
      <v>9</v>
      <v>6</v>
      <v>6</v>
      <v>6</v>
      <v>8</v>
      <v>4</v>
      <v>10</v>
      <v>5</v>
      <v>8</v>
      <v>6</v>
      <v>6</v>
      <v>3</v>
    </spb>
    <spb s="8">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9">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_-[$R$-pt-BR] * #,##0.00_-;-[$R$-pt-BR] * #,##0.00_-;_-[$R$-pt-BR] * "-"??_-;_-@_-</rpv>
    </rSty>
    <rSty>
      <rpv i="1">1</rpv>
    </rSty>
    <rSty dxfid="3"/>
    <rSty dxfid="2"/>
    <rSty dxfid="0">
      <rpv i="0">0.00</rpv>
    </rSty>
    <rSty dxfid="1">
      <rpv i="0">_([$$-en-US]* #,##0.00_);_([$$-en-US]* (#,##0.00);_([$$-en-US]* "-"??_);_(@_)</rpv>
    </rSty>
    <rSty dxfid="5">
      <rpv i="0">#,##0.00</rpv>
    </rSty>
    <rSty dxfid="4">
      <rpv i="0">#,##0</rpv>
    </rSty>
    <rSty dxfid="1">
      <rpv i="0">_([$$-en-US]* #,##0_);_([$$-en-US]* (#,##0);_([$$-en-US]* "-"_);_(@_)</rpv>
    </rSty>
    <rSty dxfid="6">
      <rpv i="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B4369-F0F9-4735-8A6F-AFDE953C15BE}">
  <dimension ref="B2:H10"/>
  <sheetViews>
    <sheetView workbookViewId="0">
      <selection activeCell="H17" sqref="H17"/>
    </sheetView>
  </sheetViews>
  <sheetFormatPr defaultColWidth="9.140625" defaultRowHeight="12.75" x14ac:dyDescent="0.2"/>
  <cols>
    <col min="1" max="16384" width="9.140625" style="1"/>
  </cols>
  <sheetData>
    <row r="2" spans="2:8" x14ac:dyDescent="0.2">
      <c r="B2" s="1" t="e" vm="1">
        <v>#VALUE!</v>
      </c>
      <c r="C2" s="9" cm="1">
        <f t="array" aca="1" ref="C2" ca="1">+_FV(B2,"Price")</f>
        <v>5.7285000000000004</v>
      </c>
      <c r="F2" s="1" t="s">
        <v>0</v>
      </c>
      <c r="G2" s="1" t="e" vm="2">
        <v>#VALUE!</v>
      </c>
    </row>
    <row r="3" spans="2:8" x14ac:dyDescent="0.2">
      <c r="F3" s="1" t="s">
        <v>1</v>
      </c>
      <c r="G3" s="2" cm="1">
        <f t="array" aca="1" ref="G3" ca="1">+_FV(G2,"Price")</f>
        <v>11.1</v>
      </c>
    </row>
    <row r="4" spans="2:8" x14ac:dyDescent="0.2">
      <c r="F4" s="1" t="s">
        <v>2</v>
      </c>
      <c r="G4" s="1">
        <v>278.02999999999997</v>
      </c>
    </row>
    <row r="5" spans="2:8" x14ac:dyDescent="0.2">
      <c r="F5" s="1" t="s">
        <v>3</v>
      </c>
      <c r="G5" s="3">
        <f ca="1">+G3*G4</f>
        <v>3086.1329999999998</v>
      </c>
    </row>
    <row r="6" spans="2:8" x14ac:dyDescent="0.2">
      <c r="F6" s="1" t="s">
        <v>4</v>
      </c>
      <c r="G6" s="3">
        <f ca="1">44157.1/C2</f>
        <v>7708.3180588286632</v>
      </c>
      <c r="H6" s="1" t="s">
        <v>14</v>
      </c>
    </row>
    <row r="7" spans="2:8" x14ac:dyDescent="0.2">
      <c r="F7" s="1" t="s">
        <v>5</v>
      </c>
      <c r="G7" s="3">
        <f ca="1">39452.9/C2</f>
        <v>6887.1257746355941</v>
      </c>
      <c r="H7" s="1" t="s">
        <v>14</v>
      </c>
    </row>
    <row r="8" spans="2:8" x14ac:dyDescent="0.2">
      <c r="F8" s="1" t="s">
        <v>6</v>
      </c>
      <c r="G8" s="3">
        <f ca="1">+G5-G6+G7</f>
        <v>2264.9407158069307</v>
      </c>
    </row>
    <row r="10" spans="2:8" x14ac:dyDescent="0.2">
      <c r="F10" s="1" t="s">
        <v>80</v>
      </c>
      <c r="G10" s="15">
        <f ca="1">+G8/model!O86</f>
        <v>1.0970154171067532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072D-0AF5-4F3D-9EB9-25AE8017D054}">
  <dimension ref="A1:AN149"/>
  <sheetViews>
    <sheetView tabSelected="1" workbookViewId="0">
      <pane xSplit="2" ySplit="2" topLeftCell="I3" activePane="bottomRight" state="frozen"/>
      <selection pane="topRight" activeCell="C1" sqref="C1"/>
      <selection pane="bottomLeft" activeCell="A3" sqref="A3"/>
      <selection pane="bottomRight" activeCell="N12" sqref="N12"/>
    </sheetView>
  </sheetViews>
  <sheetFormatPr defaultColWidth="9.140625" defaultRowHeight="12.75" x14ac:dyDescent="0.2"/>
  <cols>
    <col min="1" max="1" width="5.5703125" style="1" bestFit="1" customWidth="1"/>
    <col min="2" max="2" width="63.28515625" style="1" bestFit="1" customWidth="1"/>
    <col min="3" max="10" width="8.85546875" style="1" customWidth="1"/>
    <col min="11" max="23" width="9.140625" style="1"/>
    <col min="24" max="24" width="10.7109375" style="1" bestFit="1" customWidth="1"/>
    <col min="25" max="16384" width="9.140625" style="1"/>
  </cols>
  <sheetData>
    <row r="1" spans="1:24" x14ac:dyDescent="0.2">
      <c r="A1" s="16" t="s">
        <v>132</v>
      </c>
    </row>
    <row r="2" spans="1:24" x14ac:dyDescent="0.2">
      <c r="B2" s="1" t="s">
        <v>34</v>
      </c>
      <c r="C2" s="1" t="s">
        <v>11</v>
      </c>
      <c r="D2" s="1" t="s">
        <v>12</v>
      </c>
      <c r="E2" s="1" t="s">
        <v>15</v>
      </c>
      <c r="F2" s="1" t="s">
        <v>16</v>
      </c>
      <c r="G2" s="1" t="s">
        <v>17</v>
      </c>
      <c r="H2" s="1" t="s">
        <v>18</v>
      </c>
      <c r="I2" s="1" t="s">
        <v>13</v>
      </c>
      <c r="J2" s="1" t="s">
        <v>14</v>
      </c>
      <c r="L2" s="1">
        <v>2021</v>
      </c>
      <c r="M2" s="1">
        <v>2022</v>
      </c>
      <c r="N2" s="1">
        <f>+M2+1</f>
        <v>2023</v>
      </c>
      <c r="O2" s="1">
        <f t="shared" ref="O2:U2" si="0">+N2+1</f>
        <v>2024</v>
      </c>
      <c r="P2" s="1">
        <f t="shared" si="0"/>
        <v>2025</v>
      </c>
      <c r="Q2" s="1">
        <f t="shared" si="0"/>
        <v>2026</v>
      </c>
      <c r="R2" s="1">
        <f t="shared" si="0"/>
        <v>2027</v>
      </c>
      <c r="S2" s="1">
        <f t="shared" si="0"/>
        <v>2028</v>
      </c>
      <c r="T2" s="1">
        <f t="shared" si="0"/>
        <v>2029</v>
      </c>
      <c r="U2" s="1">
        <f t="shared" si="0"/>
        <v>2030</v>
      </c>
    </row>
    <row r="3" spans="1:24" x14ac:dyDescent="0.2">
      <c r="B3" s="1" t="s">
        <v>31</v>
      </c>
      <c r="C3" s="11">
        <v>2818.0810000000001</v>
      </c>
      <c r="D3" s="11">
        <v>3014.7</v>
      </c>
      <c r="E3" s="11">
        <v>3330.9250000000002</v>
      </c>
      <c r="F3" s="11">
        <v>3522.1329999999998</v>
      </c>
      <c r="G3" s="11">
        <v>3720.5880000000002</v>
      </c>
      <c r="H3" s="11">
        <v>3904.1379999999999</v>
      </c>
      <c r="I3" s="12">
        <v>4012.078</v>
      </c>
      <c r="J3" s="12">
        <v>4172.7309999999998</v>
      </c>
      <c r="L3" s="3">
        <v>1766.1</v>
      </c>
      <c r="M3" s="3">
        <v>2584</v>
      </c>
      <c r="N3" s="3">
        <f>+F3</f>
        <v>3522.1329999999998</v>
      </c>
      <c r="O3" s="3">
        <f>+J3</f>
        <v>4172.7309999999998</v>
      </c>
    </row>
    <row r="4" spans="1:24" x14ac:dyDescent="0.2">
      <c r="B4" s="1" t="s">
        <v>32</v>
      </c>
    </row>
    <row r="5" spans="1:24" x14ac:dyDescent="0.2">
      <c r="B5" s="1" t="s">
        <v>33</v>
      </c>
      <c r="C5" s="1">
        <v>1.2</v>
      </c>
      <c r="D5" s="1">
        <v>18.7</v>
      </c>
      <c r="E5" s="1">
        <v>113.5</v>
      </c>
      <c r="F5" s="1">
        <v>312.8</v>
      </c>
      <c r="G5" s="1">
        <v>539.6</v>
      </c>
      <c r="H5" s="1">
        <v>711.8</v>
      </c>
      <c r="I5" s="1">
        <v>923.1</v>
      </c>
      <c r="J5" s="1">
        <v>1207.5999999999999</v>
      </c>
      <c r="W5" s="1" t="s">
        <v>37</v>
      </c>
      <c r="X5" s="6">
        <v>0.15</v>
      </c>
    </row>
    <row r="6" spans="1:24" x14ac:dyDescent="0.2">
      <c r="W6" s="1" t="s">
        <v>38</v>
      </c>
      <c r="X6" s="6">
        <v>0.02</v>
      </c>
    </row>
    <row r="7" spans="1:24" x14ac:dyDescent="0.2">
      <c r="W7" s="1" t="s">
        <v>39</v>
      </c>
      <c r="X7" s="8">
        <f ca="1">+NPV(X5,P22:AN22)+main!G6-main!G7</f>
        <v>37463.950838627163</v>
      </c>
    </row>
    <row r="8" spans="1:24" x14ac:dyDescent="0.2">
      <c r="B8" s="1" t="s">
        <v>7</v>
      </c>
      <c r="C8" s="3">
        <v>733.1</v>
      </c>
      <c r="D8" s="3">
        <v>840.06899999999996</v>
      </c>
      <c r="E8" s="3">
        <v>868.52700000000004</v>
      </c>
      <c r="F8" s="3">
        <v>868.1</v>
      </c>
      <c r="G8" s="3">
        <v>749.8</v>
      </c>
      <c r="H8" s="3">
        <v>807.51099999999997</v>
      </c>
      <c r="I8" s="3">
        <v>828.85400000000004</v>
      </c>
      <c r="J8" s="3">
        <v>829.8</v>
      </c>
      <c r="L8" s="3">
        <v>1626.9</v>
      </c>
      <c r="M8" s="3">
        <v>2617.4</v>
      </c>
      <c r="N8" s="3">
        <f>+SUM(C8:F8)</f>
        <v>3309.7959999999998</v>
      </c>
      <c r="O8" s="3">
        <f>+SUM(G8:J8)</f>
        <v>3215.9650000000001</v>
      </c>
      <c r="P8" s="3">
        <f>+O8*1.02</f>
        <v>3280.2843000000003</v>
      </c>
      <c r="Q8" s="3">
        <f t="shared" ref="Q8:U8" si="1">+P8*1.02</f>
        <v>3345.8899860000001</v>
      </c>
      <c r="R8" s="3">
        <f t="shared" si="1"/>
        <v>3412.8077857200001</v>
      </c>
      <c r="S8" s="3">
        <f t="shared" si="1"/>
        <v>3481.0639414344</v>
      </c>
      <c r="T8" s="3">
        <f t="shared" si="1"/>
        <v>3550.685220263088</v>
      </c>
      <c r="U8" s="3">
        <f t="shared" si="1"/>
        <v>3621.6989246683497</v>
      </c>
      <c r="W8" s="1" t="s">
        <v>43</v>
      </c>
      <c r="X8" s="6">
        <v>0.08</v>
      </c>
    </row>
    <row r="9" spans="1:24" x14ac:dyDescent="0.2">
      <c r="B9" s="1" t="s">
        <v>8</v>
      </c>
      <c r="C9" s="3">
        <v>445.1</v>
      </c>
      <c r="D9" s="3">
        <v>457.33</v>
      </c>
      <c r="E9" s="3">
        <v>463.41899999999998</v>
      </c>
      <c r="F9" s="3">
        <v>459.1</v>
      </c>
      <c r="G9" s="3">
        <v>456.7</v>
      </c>
      <c r="H9" s="3">
        <v>453.267</v>
      </c>
      <c r="I9" s="3">
        <v>465.62400000000002</v>
      </c>
      <c r="J9" s="3">
        <v>471.3</v>
      </c>
      <c r="L9" s="3">
        <v>1071.9000000000001</v>
      </c>
      <c r="M9" s="3">
        <v>1760.9</v>
      </c>
      <c r="N9" s="3">
        <f t="shared" ref="N9:N21" si="2">+SUM(C9:F9)</f>
        <v>1824.9490000000001</v>
      </c>
      <c r="O9" s="3">
        <f t="shared" ref="O9:O21" si="3">+SUM(G9:J9)</f>
        <v>1846.8909999999998</v>
      </c>
      <c r="P9" s="3">
        <f t="shared" ref="P9:U9" si="4">+O9*1.02</f>
        <v>1883.82882</v>
      </c>
      <c r="Q9" s="3">
        <f t="shared" si="4"/>
        <v>1921.5053963999999</v>
      </c>
      <c r="R9" s="3">
        <f t="shared" si="4"/>
        <v>1959.935504328</v>
      </c>
      <c r="S9" s="3">
        <f t="shared" si="4"/>
        <v>1999.1342144145601</v>
      </c>
      <c r="T9" s="3">
        <f t="shared" si="4"/>
        <v>2039.1168987028514</v>
      </c>
      <c r="U9" s="3">
        <f t="shared" si="4"/>
        <v>2079.8992366769085</v>
      </c>
      <c r="W9" s="1" t="s">
        <v>1</v>
      </c>
      <c r="X9" s="10">
        <f ca="1">+X7/main!G4</f>
        <v>134.747871951326</v>
      </c>
    </row>
    <row r="10" spans="1:24" x14ac:dyDescent="0.2">
      <c r="B10" s="1" t="s">
        <v>9</v>
      </c>
      <c r="C10" s="3">
        <v>1375</v>
      </c>
      <c r="D10" s="3">
        <v>1462.595</v>
      </c>
      <c r="E10" s="3">
        <v>1620.914</v>
      </c>
      <c r="F10" s="3">
        <v>1770.8</v>
      </c>
      <c r="G10" s="3">
        <v>1741.1</v>
      </c>
      <c r="H10" s="3">
        <v>1826.662</v>
      </c>
      <c r="I10" s="3">
        <v>1918.82</v>
      </c>
      <c r="J10" s="3">
        <v>2189.6</v>
      </c>
      <c r="L10" s="3">
        <v>1877.7</v>
      </c>
      <c r="M10" s="3">
        <v>4638</v>
      </c>
      <c r="N10" s="3">
        <f t="shared" si="2"/>
        <v>6229.3090000000002</v>
      </c>
      <c r="O10" s="3">
        <f t="shared" si="3"/>
        <v>7676.1819999999989</v>
      </c>
      <c r="P10" s="3">
        <f>+O10*1.18</f>
        <v>9057.8947599999974</v>
      </c>
      <c r="Q10" s="3">
        <f t="shared" ref="Q10" si="5">+P10*1.12</f>
        <v>10144.842131199997</v>
      </c>
      <c r="R10" s="3">
        <f>+Q10*1.12</f>
        <v>11362.223186943998</v>
      </c>
      <c r="S10" s="3">
        <f>+R10*1.1</f>
        <v>12498.445505638399</v>
      </c>
      <c r="T10" s="3">
        <f t="shared" ref="T10:U10" si="6">+S10*1.1</f>
        <v>13748.290056202241</v>
      </c>
      <c r="U10" s="3">
        <f t="shared" si="6"/>
        <v>15123.119061822466</v>
      </c>
      <c r="W10" s="1" t="s">
        <v>40</v>
      </c>
      <c r="X10" s="8">
        <f ca="1">+X9/main!C2</f>
        <v>23.522365706786417</v>
      </c>
    </row>
    <row r="11" spans="1:24" x14ac:dyDescent="0.2">
      <c r="B11" s="1" t="s">
        <v>10</v>
      </c>
      <c r="C11" s="3">
        <v>158.4</v>
      </c>
      <c r="D11" s="3">
        <v>194.78899999999999</v>
      </c>
      <c r="E11" s="3">
        <v>187.02199999999999</v>
      </c>
      <c r="F11" s="3">
        <v>150.69999999999999</v>
      </c>
      <c r="G11" s="3">
        <v>137.30000000000001</v>
      </c>
      <c r="H11" s="3">
        <v>118.434</v>
      </c>
      <c r="I11" s="3">
        <v>143.935</v>
      </c>
      <c r="J11" s="3">
        <v>118.7</v>
      </c>
      <c r="L11" s="3">
        <v>247.3</v>
      </c>
      <c r="M11" s="3">
        <v>572.6</v>
      </c>
      <c r="N11" s="3">
        <f t="shared" si="2"/>
        <v>690.91100000000006</v>
      </c>
      <c r="O11" s="3">
        <f t="shared" si="3"/>
        <v>518.36900000000003</v>
      </c>
      <c r="P11" s="3">
        <f>+O11*0.95</f>
        <v>492.45055000000002</v>
      </c>
      <c r="Q11" s="3">
        <f t="shared" ref="Q11:U11" si="7">+P11*0.95</f>
        <v>467.82802249999997</v>
      </c>
      <c r="R11" s="3">
        <f t="shared" si="7"/>
        <v>444.43662137499996</v>
      </c>
      <c r="S11" s="3">
        <f t="shared" si="7"/>
        <v>422.21479030624994</v>
      </c>
      <c r="T11" s="3">
        <f t="shared" si="7"/>
        <v>401.10405079093744</v>
      </c>
      <c r="U11" s="3">
        <f t="shared" si="7"/>
        <v>381.04884825139055</v>
      </c>
    </row>
    <row r="12" spans="1:24" x14ac:dyDescent="0.2">
      <c r="B12" s="4" t="s">
        <v>19</v>
      </c>
      <c r="C12" s="5">
        <f t="shared" ref="C12:H12" si="8">+SUM(C8:C11)</f>
        <v>2711.6</v>
      </c>
      <c r="D12" s="5">
        <f t="shared" si="8"/>
        <v>2954.7829999999994</v>
      </c>
      <c r="E12" s="5">
        <f t="shared" si="8"/>
        <v>3139.8819999999996</v>
      </c>
      <c r="F12" s="5">
        <f t="shared" si="8"/>
        <v>3248.7</v>
      </c>
      <c r="G12" s="5">
        <f t="shared" si="8"/>
        <v>3084.9</v>
      </c>
      <c r="H12" s="5">
        <f t="shared" si="8"/>
        <v>3205.8740000000003</v>
      </c>
      <c r="I12" s="5">
        <f>+SUM(I8:I11)</f>
        <v>3357.2329999999997</v>
      </c>
      <c r="J12" s="5">
        <f t="shared" ref="J12" si="9">+SUM(J8:J11)</f>
        <v>3609.3999999999996</v>
      </c>
      <c r="L12" s="5">
        <f t="shared" ref="L12:U12" si="10">+SUM(L8:L11)</f>
        <v>4823.8</v>
      </c>
      <c r="M12" s="5">
        <f t="shared" si="10"/>
        <v>9588.9</v>
      </c>
      <c r="N12" s="5">
        <f t="shared" si="10"/>
        <v>12054.965</v>
      </c>
      <c r="O12" s="5">
        <f t="shared" si="10"/>
        <v>13257.406999999999</v>
      </c>
      <c r="P12" s="5">
        <f t="shared" si="10"/>
        <v>14714.458429999997</v>
      </c>
      <c r="Q12" s="5">
        <f t="shared" si="10"/>
        <v>15880.065536099997</v>
      </c>
      <c r="R12" s="5">
        <f t="shared" si="10"/>
        <v>17179.403098366998</v>
      </c>
      <c r="S12" s="5">
        <f t="shared" si="10"/>
        <v>18400.858451793611</v>
      </c>
      <c r="T12" s="5">
        <f t="shared" si="10"/>
        <v>19739.19622595912</v>
      </c>
      <c r="U12" s="5">
        <f t="shared" si="10"/>
        <v>21205.766071419115</v>
      </c>
    </row>
    <row r="13" spans="1:24" x14ac:dyDescent="0.2">
      <c r="B13" s="1" t="s">
        <v>20</v>
      </c>
      <c r="C13" s="3">
        <v>721.3</v>
      </c>
      <c r="D13" s="3">
        <v>685.30200000000002</v>
      </c>
      <c r="E13" s="3">
        <v>773.48500000000001</v>
      </c>
      <c r="F13" s="3">
        <v>802.7</v>
      </c>
      <c r="G13" s="3">
        <v>809.9</v>
      </c>
      <c r="H13" s="3">
        <v>841.37400000000002</v>
      </c>
      <c r="I13" s="3">
        <v>859.04399999999998</v>
      </c>
      <c r="J13" s="3">
        <v>878.8</v>
      </c>
      <c r="L13" s="3">
        <v>1713.8</v>
      </c>
      <c r="M13" s="3">
        <v>2669.8</v>
      </c>
      <c r="N13" s="3">
        <f t="shared" si="2"/>
        <v>2982.7870000000003</v>
      </c>
      <c r="O13" s="3">
        <f t="shared" si="3"/>
        <v>3389.1179999999995</v>
      </c>
      <c r="P13" s="3">
        <f>+P12*0.24</f>
        <v>3531.4700231999991</v>
      </c>
      <c r="Q13" s="3">
        <f t="shared" ref="Q13:U13" si="11">+Q12*0.24</f>
        <v>3811.215728663999</v>
      </c>
      <c r="R13" s="3">
        <f t="shared" si="11"/>
        <v>4123.0567436080792</v>
      </c>
      <c r="S13" s="3">
        <f t="shared" si="11"/>
        <v>4416.2060284304662</v>
      </c>
      <c r="T13" s="3">
        <f t="shared" si="11"/>
        <v>4737.4070942301887</v>
      </c>
      <c r="U13" s="3">
        <f t="shared" si="11"/>
        <v>5089.3838571405877</v>
      </c>
    </row>
    <row r="14" spans="1:24" x14ac:dyDescent="0.2">
      <c r="B14" s="1" t="s">
        <v>21</v>
      </c>
      <c r="C14" s="3">
        <f t="shared" ref="C14:H14" si="12">+C12-C13</f>
        <v>1990.3</v>
      </c>
      <c r="D14" s="3">
        <f t="shared" si="12"/>
        <v>2269.4809999999993</v>
      </c>
      <c r="E14" s="3">
        <f t="shared" si="12"/>
        <v>2366.3969999999995</v>
      </c>
      <c r="F14" s="3">
        <f t="shared" si="12"/>
        <v>2446</v>
      </c>
      <c r="G14" s="3">
        <f t="shared" si="12"/>
        <v>2275</v>
      </c>
      <c r="H14" s="3">
        <f t="shared" si="12"/>
        <v>2364.5</v>
      </c>
      <c r="I14" s="3">
        <f>+I12-I13</f>
        <v>2498.1889999999999</v>
      </c>
      <c r="J14" s="3">
        <f t="shared" ref="J14" si="13">+J12-J13</f>
        <v>2730.5999999999995</v>
      </c>
      <c r="L14" s="3">
        <f t="shared" ref="L14:U14" si="14">+L12-L13</f>
        <v>3110</v>
      </c>
      <c r="M14" s="3">
        <f t="shared" si="14"/>
        <v>6919.0999999999995</v>
      </c>
      <c r="N14" s="3">
        <f t="shared" si="14"/>
        <v>9072.1779999999999</v>
      </c>
      <c r="O14" s="3">
        <f t="shared" si="3"/>
        <v>9868.2890000000007</v>
      </c>
      <c r="P14" s="3">
        <f t="shared" si="14"/>
        <v>11182.988406799997</v>
      </c>
      <c r="Q14" s="3">
        <f t="shared" si="14"/>
        <v>12068.849807435998</v>
      </c>
      <c r="R14" s="3">
        <f t="shared" si="14"/>
        <v>13056.34635475892</v>
      </c>
      <c r="S14" s="3">
        <f t="shared" si="14"/>
        <v>13984.652423363144</v>
      </c>
      <c r="T14" s="3">
        <f t="shared" si="14"/>
        <v>15001.789131728932</v>
      </c>
      <c r="U14" s="3">
        <f t="shared" si="14"/>
        <v>16116.382214278528</v>
      </c>
    </row>
    <row r="15" spans="1:24" x14ac:dyDescent="0.2">
      <c r="B15" s="1" t="s">
        <v>22</v>
      </c>
      <c r="C15" s="3">
        <v>298</v>
      </c>
      <c r="D15" s="3">
        <v>303.89999999999998</v>
      </c>
      <c r="E15" s="3">
        <v>278.33800000000002</v>
      </c>
      <c r="F15" s="3">
        <v>308.60000000000002</v>
      </c>
      <c r="G15" s="3">
        <v>257</v>
      </c>
      <c r="H15" s="3">
        <v>255.48699999999999</v>
      </c>
      <c r="I15" s="3">
        <v>314.72800000000001</v>
      </c>
      <c r="J15" s="3">
        <v>303.3</v>
      </c>
      <c r="L15" s="3">
        <v>813.3</v>
      </c>
      <c r="M15" s="3">
        <v>1121.4000000000001</v>
      </c>
      <c r="N15" s="3">
        <f t="shared" si="2"/>
        <v>1188.8380000000002</v>
      </c>
      <c r="O15" s="3">
        <f t="shared" si="3"/>
        <v>1130.5149999999999</v>
      </c>
      <c r="P15" s="3">
        <f>+O15*1.05</f>
        <v>1187.0407499999999</v>
      </c>
      <c r="Q15" s="3">
        <f t="shared" ref="Q15:U15" si="15">+P15*1.05</f>
        <v>1246.3927874999999</v>
      </c>
      <c r="R15" s="3">
        <f t="shared" si="15"/>
        <v>1308.7124268749999</v>
      </c>
      <c r="S15" s="3">
        <f t="shared" si="15"/>
        <v>1374.1480482187499</v>
      </c>
      <c r="T15" s="3">
        <f t="shared" si="15"/>
        <v>1442.8554506296873</v>
      </c>
      <c r="U15" s="3">
        <f t="shared" si="15"/>
        <v>1514.9982231611718</v>
      </c>
    </row>
    <row r="16" spans="1:24" x14ac:dyDescent="0.2">
      <c r="B16" s="1" t="s">
        <v>23</v>
      </c>
      <c r="C16" s="3">
        <v>389.9</v>
      </c>
      <c r="D16" s="3">
        <v>411.89100000000002</v>
      </c>
      <c r="E16" s="3">
        <v>442.43299999999999</v>
      </c>
      <c r="F16" s="3">
        <v>454</v>
      </c>
      <c r="G16" s="3">
        <v>529.70000000000005</v>
      </c>
      <c r="H16" s="3">
        <v>524.92999999999995</v>
      </c>
      <c r="I16" s="3">
        <v>501.75799999999998</v>
      </c>
      <c r="J16" s="3">
        <v>549.1</v>
      </c>
      <c r="L16" s="3">
        <v>1012.5</v>
      </c>
      <c r="M16" s="3">
        <v>1511.2</v>
      </c>
      <c r="N16" s="3">
        <f t="shared" si="2"/>
        <v>1698.2239999999999</v>
      </c>
      <c r="O16" s="3">
        <f t="shared" si="3"/>
        <v>2105.4880000000003</v>
      </c>
      <c r="P16" s="3">
        <f>+P12*0.15</f>
        <v>2207.1687644999993</v>
      </c>
      <c r="Q16" s="3">
        <f t="shared" ref="Q16:U16" si="16">+Q12*0.15</f>
        <v>2382.0098304149997</v>
      </c>
      <c r="R16" s="3">
        <f t="shared" si="16"/>
        <v>2576.9104647550498</v>
      </c>
      <c r="S16" s="3">
        <f t="shared" si="16"/>
        <v>2760.1287677690416</v>
      </c>
      <c r="T16" s="3">
        <f t="shared" si="16"/>
        <v>2960.8794338938678</v>
      </c>
      <c r="U16" s="3">
        <f t="shared" si="16"/>
        <v>3180.8649107128672</v>
      </c>
    </row>
    <row r="17" spans="2:40" x14ac:dyDescent="0.2">
      <c r="B17" s="1" t="s">
        <v>24</v>
      </c>
      <c r="C17" s="3">
        <v>923.6</v>
      </c>
      <c r="D17" s="3">
        <v>1073.8440000000001</v>
      </c>
      <c r="E17" s="3">
        <v>1058.8820000000001</v>
      </c>
      <c r="F17" s="3">
        <v>943.1</v>
      </c>
      <c r="G17" s="3">
        <v>896.5</v>
      </c>
      <c r="H17" s="3">
        <v>851.05200000000002</v>
      </c>
      <c r="I17" s="3">
        <v>910.53399999999999</v>
      </c>
      <c r="J17" s="3">
        <v>1035.5</v>
      </c>
      <c r="L17" s="3">
        <v>1269.0999999999999</v>
      </c>
      <c r="M17" s="3">
        <v>3514.7</v>
      </c>
      <c r="N17" s="3">
        <f t="shared" si="2"/>
        <v>3999.4259999999999</v>
      </c>
      <c r="O17" s="3">
        <f t="shared" si="3"/>
        <v>3693.5860000000002</v>
      </c>
      <c r="P17" s="3">
        <f>+O17*1.08</f>
        <v>3989.0728800000006</v>
      </c>
      <c r="Q17" s="3">
        <f>+P17*1.07</f>
        <v>4268.3079816000009</v>
      </c>
      <c r="R17" s="3">
        <f t="shared" ref="R17:U17" si="17">+Q17*1.07</f>
        <v>4567.0895403120012</v>
      </c>
      <c r="S17" s="3">
        <f t="shared" si="17"/>
        <v>4886.7858081338418</v>
      </c>
      <c r="T17" s="3">
        <f t="shared" si="17"/>
        <v>5228.860814703211</v>
      </c>
      <c r="U17" s="3">
        <f t="shared" si="17"/>
        <v>5594.8810717324359</v>
      </c>
    </row>
    <row r="18" spans="2:40" x14ac:dyDescent="0.2">
      <c r="B18" s="1" t="s">
        <v>25</v>
      </c>
      <c r="C18" s="3">
        <v>-30.6</v>
      </c>
      <c r="D18" s="3"/>
      <c r="E18" s="3">
        <v>82.616</v>
      </c>
      <c r="F18" s="3">
        <v>-0.3</v>
      </c>
      <c r="G18" s="3">
        <v>0</v>
      </c>
      <c r="H18" s="3">
        <v>0</v>
      </c>
      <c r="I18" s="3">
        <v>101.624</v>
      </c>
      <c r="J18" s="3">
        <v>3558</v>
      </c>
      <c r="L18" s="3">
        <v>1264.2</v>
      </c>
      <c r="M18" s="3">
        <v>853.1</v>
      </c>
      <c r="N18" s="3">
        <f t="shared" si="2"/>
        <v>51.716000000000001</v>
      </c>
      <c r="O18" s="3">
        <f t="shared" si="3"/>
        <v>3659.6239999999998</v>
      </c>
      <c r="P18" s="3">
        <f>+O36*$X$8</f>
        <v>376.32800000000003</v>
      </c>
      <c r="Q18" s="3">
        <f t="shared" ref="Q18:U18" si="18">+P36*$X$8</f>
        <v>643.5941767871999</v>
      </c>
      <c r="R18" s="3">
        <f t="shared" si="18"/>
        <v>951.80111340852454</v>
      </c>
      <c r="S18" s="3">
        <f t="shared" si="18"/>
        <v>1307.3489557269497</v>
      </c>
      <c r="T18" s="3">
        <f t="shared" si="18"/>
        <v>1708.6890360449313</v>
      </c>
      <c r="U18" s="3">
        <f t="shared" si="18"/>
        <v>2161.6735140319456</v>
      </c>
    </row>
    <row r="19" spans="2:40" x14ac:dyDescent="0.2">
      <c r="B19" s="1" t="s">
        <v>26</v>
      </c>
      <c r="C19" s="3">
        <v>-102.5</v>
      </c>
      <c r="D19" s="3">
        <v>-56.747</v>
      </c>
      <c r="E19" s="3">
        <v>-0.59499999999999997</v>
      </c>
      <c r="F19" s="3">
        <v>-1.7</v>
      </c>
      <c r="G19" s="3">
        <v>-108.1</v>
      </c>
      <c r="H19" s="3">
        <v>-80.92</v>
      </c>
      <c r="I19" s="3">
        <v>0.379</v>
      </c>
      <c r="J19" s="3">
        <v>-108.1</v>
      </c>
      <c r="L19" s="3">
        <v>-185.9</v>
      </c>
      <c r="M19" s="3">
        <v>-302.5</v>
      </c>
      <c r="N19" s="3">
        <f t="shared" si="2"/>
        <v>-161.542</v>
      </c>
      <c r="O19" s="3">
        <f t="shared" si="3"/>
        <v>-296.74099999999999</v>
      </c>
      <c r="P19" s="3">
        <v>0</v>
      </c>
      <c r="Q19" s="3">
        <v>0</v>
      </c>
      <c r="R19" s="3">
        <v>0</v>
      </c>
      <c r="S19" s="3">
        <f t="shared" ref="S19" si="19">+R19*0.9</f>
        <v>0</v>
      </c>
      <c r="T19" s="3">
        <v>0</v>
      </c>
      <c r="U19" s="3">
        <v>0</v>
      </c>
    </row>
    <row r="20" spans="2:40" x14ac:dyDescent="0.2">
      <c r="B20" s="1" t="s">
        <v>27</v>
      </c>
      <c r="C20" s="3">
        <f t="shared" ref="C20:H20" si="20">+C14-SUM(C15:C18)+C19</f>
        <v>306.89999999999986</v>
      </c>
      <c r="D20" s="3">
        <f t="shared" si="20"/>
        <v>423.09899999999931</v>
      </c>
      <c r="E20" s="3">
        <f t="shared" si="20"/>
        <v>503.53299999999945</v>
      </c>
      <c r="F20" s="3">
        <f t="shared" si="20"/>
        <v>738.89999999999986</v>
      </c>
      <c r="G20" s="3">
        <f t="shared" si="20"/>
        <v>483.69999999999993</v>
      </c>
      <c r="H20" s="3">
        <f t="shared" si="20"/>
        <v>652.11099999999999</v>
      </c>
      <c r="I20" s="3">
        <f>+I14-SUM(I15:I18)+I19</f>
        <v>669.92399999999986</v>
      </c>
      <c r="J20" s="3">
        <f t="shared" ref="J20" si="21">+J14-SUM(J15:J18)+J19</f>
        <v>-2823.4</v>
      </c>
      <c r="L20" s="3">
        <f t="shared" ref="L20:O20" si="22">+L14-SUM(L15:L18)+L19</f>
        <v>-1434.9999999999995</v>
      </c>
      <c r="M20" s="3">
        <f t="shared" si="22"/>
        <v>-383.80000000000109</v>
      </c>
      <c r="N20" s="3">
        <f t="shared" si="22"/>
        <v>1972.4320000000002</v>
      </c>
      <c r="O20" s="3">
        <f t="shared" si="22"/>
        <v>-1017.6649999999991</v>
      </c>
      <c r="P20" s="3">
        <f>+P14-SUM(P15:P17)+P18+P19</f>
        <v>4176.0340122999978</v>
      </c>
      <c r="Q20" s="3">
        <f t="shared" ref="Q20:U20" si="23">+Q14-SUM(Q15:Q17)+Q18+Q19</f>
        <v>4815.7333847081973</v>
      </c>
      <c r="R20" s="3">
        <f t="shared" si="23"/>
        <v>5555.4350362253936</v>
      </c>
      <c r="S20" s="3">
        <f t="shared" si="23"/>
        <v>6270.9387549684598</v>
      </c>
      <c r="T20" s="3">
        <f t="shared" si="23"/>
        <v>7077.8824685470963</v>
      </c>
      <c r="U20" s="3">
        <f t="shared" si="23"/>
        <v>7987.311522703998</v>
      </c>
    </row>
    <row r="21" spans="2:40" x14ac:dyDescent="0.2">
      <c r="B21" s="1" t="s">
        <v>28</v>
      </c>
      <c r="C21" s="3">
        <v>81.099999999999994</v>
      </c>
      <c r="D21" s="3">
        <f>74.199+40.863</f>
        <v>115.062</v>
      </c>
      <c r="E21" s="3">
        <f>135.182-42.985</f>
        <v>92.196999999999989</v>
      </c>
      <c r="F21" s="3">
        <v>82</v>
      </c>
      <c r="G21" s="3">
        <v>110.4</v>
      </c>
      <c r="H21" s="3">
        <f>151.377+2.009</f>
        <v>153.386</v>
      </c>
      <c r="I21" s="3">
        <f>112.674+14.373</f>
        <v>127.04700000000001</v>
      </c>
      <c r="J21" s="3">
        <v>98.6</v>
      </c>
      <c r="L21" s="3">
        <v>-68.2</v>
      </c>
      <c r="M21" s="3">
        <v>139.1</v>
      </c>
      <c r="N21" s="3">
        <f t="shared" si="2"/>
        <v>370.35899999999998</v>
      </c>
      <c r="O21" s="3">
        <f t="shared" si="3"/>
        <v>489.43299999999999</v>
      </c>
      <c r="P21" s="3">
        <f>+P20*0.2</f>
        <v>835.20680245999961</v>
      </c>
      <c r="Q21" s="3">
        <f t="shared" ref="Q21:U21" si="24">+Q20*0.2</f>
        <v>963.1466769416395</v>
      </c>
      <c r="R21" s="3">
        <f t="shared" si="24"/>
        <v>1111.0870072450787</v>
      </c>
      <c r="S21" s="3">
        <f t="shared" si="24"/>
        <v>1254.1877509936921</v>
      </c>
      <c r="T21" s="3">
        <f t="shared" si="24"/>
        <v>1415.5764937094193</v>
      </c>
      <c r="U21" s="3">
        <f t="shared" si="24"/>
        <v>1597.4623045407998</v>
      </c>
    </row>
    <row r="22" spans="2:40" x14ac:dyDescent="0.2">
      <c r="B22" s="1" t="s">
        <v>29</v>
      </c>
      <c r="C22" s="3">
        <f t="shared" ref="C22:H22" si="25">+C20-C21</f>
        <v>225.79999999999987</v>
      </c>
      <c r="D22" s="3">
        <f t="shared" si="25"/>
        <v>308.0369999999993</v>
      </c>
      <c r="E22" s="3">
        <f t="shared" si="25"/>
        <v>411.33599999999944</v>
      </c>
      <c r="F22" s="3">
        <f t="shared" si="25"/>
        <v>656.89999999999986</v>
      </c>
      <c r="G22" s="3">
        <f t="shared" si="25"/>
        <v>373.29999999999995</v>
      </c>
      <c r="H22" s="3">
        <f t="shared" si="25"/>
        <v>498.72500000000002</v>
      </c>
      <c r="I22" s="3">
        <f>+I20-I21</f>
        <v>542.87699999999984</v>
      </c>
      <c r="J22" s="3">
        <f t="shared" ref="J22" si="26">+J20-J21</f>
        <v>-2922</v>
      </c>
      <c r="L22" s="3">
        <f t="shared" ref="L22:U22" si="27">+L20-L21</f>
        <v>-1366.7999999999995</v>
      </c>
      <c r="M22" s="3">
        <f t="shared" si="27"/>
        <v>-522.90000000000111</v>
      </c>
      <c r="N22" s="3">
        <f t="shared" si="27"/>
        <v>1602.0730000000003</v>
      </c>
      <c r="O22" s="3">
        <f t="shared" si="27"/>
        <v>-1507.097999999999</v>
      </c>
      <c r="P22" s="3">
        <f t="shared" si="27"/>
        <v>3340.8272098399984</v>
      </c>
      <c r="Q22" s="3">
        <f t="shared" si="27"/>
        <v>3852.586707766558</v>
      </c>
      <c r="R22" s="3">
        <f t="shared" si="27"/>
        <v>4444.3480289803147</v>
      </c>
      <c r="S22" s="3">
        <f t="shared" si="27"/>
        <v>5016.7510039747676</v>
      </c>
      <c r="T22" s="3">
        <f t="shared" si="27"/>
        <v>5662.3059748376772</v>
      </c>
      <c r="U22" s="3">
        <f t="shared" si="27"/>
        <v>6389.8492181631982</v>
      </c>
      <c r="V22" s="3">
        <f>+U22*(1+$X$6)</f>
        <v>6517.6462025264627</v>
      </c>
      <c r="W22" s="3">
        <f t="shared" ref="W22:AN22" si="28">+V22*(1+$X$6)</f>
        <v>6647.9991265769922</v>
      </c>
      <c r="X22" s="3">
        <f t="shared" si="28"/>
        <v>6780.9591091085322</v>
      </c>
      <c r="Y22" s="3">
        <f t="shared" si="28"/>
        <v>6916.5782912907025</v>
      </c>
      <c r="Z22" s="3">
        <f t="shared" si="28"/>
        <v>7054.9098571165168</v>
      </c>
      <c r="AA22" s="3">
        <f t="shared" si="28"/>
        <v>7196.0080542588476</v>
      </c>
      <c r="AB22" s="3">
        <f t="shared" si="28"/>
        <v>7339.9282153440245</v>
      </c>
      <c r="AC22" s="3">
        <f t="shared" si="28"/>
        <v>7486.726779650905</v>
      </c>
      <c r="AD22" s="3">
        <f t="shared" si="28"/>
        <v>7636.4613152439233</v>
      </c>
      <c r="AE22" s="3">
        <f t="shared" si="28"/>
        <v>7789.1905415488018</v>
      </c>
      <c r="AF22" s="3">
        <f t="shared" si="28"/>
        <v>7944.9743523797779</v>
      </c>
      <c r="AG22" s="3">
        <f t="shared" si="28"/>
        <v>8103.8738394273732</v>
      </c>
      <c r="AH22" s="3">
        <f t="shared" si="28"/>
        <v>8265.9513162159201</v>
      </c>
      <c r="AI22" s="3">
        <f t="shared" si="28"/>
        <v>8431.2703425402378</v>
      </c>
      <c r="AJ22" s="3">
        <f t="shared" si="28"/>
        <v>8599.895749391042</v>
      </c>
      <c r="AK22" s="3">
        <f t="shared" si="28"/>
        <v>8771.8936643788638</v>
      </c>
      <c r="AL22" s="3">
        <f t="shared" si="28"/>
        <v>8947.3315376664414</v>
      </c>
      <c r="AM22" s="3">
        <f t="shared" si="28"/>
        <v>9126.2781684197707</v>
      </c>
      <c r="AN22" s="3">
        <f t="shared" si="28"/>
        <v>9308.8037317881663</v>
      </c>
    </row>
    <row r="23" spans="2:40" x14ac:dyDescent="0.2">
      <c r="C23" s="3"/>
      <c r="D23" s="3"/>
      <c r="E23" s="3"/>
      <c r="F23" s="3"/>
      <c r="G23" s="3"/>
      <c r="H23" s="3"/>
      <c r="I23" s="3"/>
      <c r="J23" s="3"/>
    </row>
    <row r="24" spans="2:40" x14ac:dyDescent="0.2">
      <c r="B24" s="1" t="s">
        <v>7</v>
      </c>
      <c r="C24" s="3"/>
      <c r="D24" s="3"/>
      <c r="E24" s="3"/>
      <c r="F24" s="3"/>
      <c r="G24" s="6">
        <f t="shared" ref="G24:G28" si="29">+G8/C8-1</f>
        <v>2.2779975446733047E-2</v>
      </c>
      <c r="H24" s="6">
        <f t="shared" ref="H24:H28" si="30">+H8/D8-1</f>
        <v>-3.8756340253003008E-2</v>
      </c>
      <c r="I24" s="6">
        <f t="shared" ref="I24:I27" si="31">+I8/E8-1</f>
        <v>-4.5678487830545289E-2</v>
      </c>
      <c r="J24" s="6">
        <f t="shared" ref="J24:J28" si="32">+J8/F8-1</f>
        <v>-4.4119341089736253E-2</v>
      </c>
      <c r="M24" s="6">
        <f t="shared" ref="M24:M28" si="33">+M8/L8-1</f>
        <v>0.60882660274140998</v>
      </c>
      <c r="N24" s="6">
        <f t="shared" ref="N24:N28" si="34">+N8/M8-1</f>
        <v>0.26453579888438905</v>
      </c>
      <c r="O24" s="6">
        <f t="shared" ref="O24:U27" si="35">+O8/N8-1</f>
        <v>-2.8349481357763384E-2</v>
      </c>
      <c r="P24" s="6">
        <f t="shared" si="35"/>
        <v>2.0000000000000018E-2</v>
      </c>
      <c r="Q24" s="6">
        <f t="shared" si="35"/>
        <v>2.0000000000000018E-2</v>
      </c>
      <c r="R24" s="6">
        <f t="shared" si="35"/>
        <v>2.0000000000000018E-2</v>
      </c>
      <c r="S24" s="6">
        <f t="shared" si="35"/>
        <v>2.0000000000000018E-2</v>
      </c>
      <c r="T24" s="6">
        <f t="shared" si="35"/>
        <v>2.0000000000000018E-2</v>
      </c>
      <c r="U24" s="6">
        <f t="shared" si="35"/>
        <v>2.0000000000000018E-2</v>
      </c>
    </row>
    <row r="25" spans="2:40" x14ac:dyDescent="0.2">
      <c r="B25" s="1" t="s">
        <v>8</v>
      </c>
      <c r="C25" s="3"/>
      <c r="D25" s="3"/>
      <c r="E25" s="3"/>
      <c r="F25" s="3"/>
      <c r="G25" s="6">
        <f t="shared" si="29"/>
        <v>2.6061559200179607E-2</v>
      </c>
      <c r="H25" s="6">
        <f t="shared" si="30"/>
        <v>-8.8841755406380285E-3</v>
      </c>
      <c r="I25" s="6">
        <f t="shared" si="31"/>
        <v>4.7581130683032047E-3</v>
      </c>
      <c r="J25" s="6">
        <f t="shared" si="32"/>
        <v>2.6573731213243246E-2</v>
      </c>
      <c r="M25" s="6">
        <f t="shared" si="33"/>
        <v>0.642783841776285</v>
      </c>
      <c r="N25" s="6">
        <f t="shared" si="34"/>
        <v>3.6372877505820966E-2</v>
      </c>
      <c r="O25" s="6">
        <f t="shared" si="35"/>
        <v>1.2023349693607743E-2</v>
      </c>
      <c r="P25" s="6">
        <f t="shared" si="35"/>
        <v>2.0000000000000018E-2</v>
      </c>
      <c r="Q25" s="6">
        <f t="shared" si="35"/>
        <v>2.0000000000000018E-2</v>
      </c>
      <c r="R25" s="6">
        <f t="shared" si="35"/>
        <v>2.0000000000000018E-2</v>
      </c>
      <c r="S25" s="6">
        <f t="shared" si="35"/>
        <v>2.0000000000000018E-2</v>
      </c>
      <c r="T25" s="6">
        <f t="shared" si="35"/>
        <v>2.0000000000000018E-2</v>
      </c>
      <c r="U25" s="6">
        <f t="shared" si="35"/>
        <v>2.0000000000000018E-2</v>
      </c>
    </row>
    <row r="26" spans="2:40" x14ac:dyDescent="0.2">
      <c r="B26" s="1" t="s">
        <v>9</v>
      </c>
      <c r="C26" s="3"/>
      <c r="D26" s="3"/>
      <c r="E26" s="3"/>
      <c r="F26" s="3"/>
      <c r="G26" s="6">
        <f t="shared" si="29"/>
        <v>0.2662545454545453</v>
      </c>
      <c r="H26" s="6">
        <f t="shared" si="30"/>
        <v>0.24891853178767875</v>
      </c>
      <c r="I26" s="6">
        <f t="shared" si="31"/>
        <v>0.18378889934937948</v>
      </c>
      <c r="J26" s="6">
        <f t="shared" si="32"/>
        <v>0.23650327535577143</v>
      </c>
      <c r="M26" s="6">
        <f t="shared" si="33"/>
        <v>1.4700431378814507</v>
      </c>
      <c r="N26" s="6">
        <f t="shared" si="34"/>
        <v>0.3431024148339803</v>
      </c>
      <c r="O26" s="6">
        <f t="shared" si="35"/>
        <v>0.23226861919997854</v>
      </c>
      <c r="P26" s="6">
        <f t="shared" si="35"/>
        <v>0.17999999999999994</v>
      </c>
      <c r="Q26" s="6">
        <f t="shared" si="35"/>
        <v>0.12000000000000011</v>
      </c>
      <c r="R26" s="6">
        <f t="shared" si="35"/>
        <v>0.12000000000000011</v>
      </c>
      <c r="S26" s="6">
        <f t="shared" si="35"/>
        <v>0.10000000000000009</v>
      </c>
      <c r="T26" s="6">
        <f t="shared" si="35"/>
        <v>0.10000000000000009</v>
      </c>
      <c r="U26" s="6">
        <f t="shared" si="35"/>
        <v>0.10000000000000009</v>
      </c>
    </row>
    <row r="27" spans="2:40" x14ac:dyDescent="0.2">
      <c r="B27" s="1" t="s">
        <v>10</v>
      </c>
      <c r="G27" s="6">
        <f t="shared" si="29"/>
        <v>-0.13320707070707072</v>
      </c>
      <c r="H27" s="6">
        <f t="shared" si="30"/>
        <v>-0.39198825395684556</v>
      </c>
      <c r="I27" s="6">
        <f t="shared" si="31"/>
        <v>-0.23038466062816132</v>
      </c>
      <c r="J27" s="6">
        <f t="shared" si="32"/>
        <v>-0.21234240212342392</v>
      </c>
      <c r="M27" s="6">
        <f t="shared" si="33"/>
        <v>1.3154063890012129</v>
      </c>
      <c r="N27" s="6">
        <f t="shared" si="34"/>
        <v>0.20662067761089764</v>
      </c>
      <c r="O27" s="6">
        <f t="shared" si="35"/>
        <v>-0.24973115205865881</v>
      </c>
      <c r="P27" s="6">
        <f t="shared" si="35"/>
        <v>-5.0000000000000044E-2</v>
      </c>
      <c r="Q27" s="6">
        <f t="shared" si="35"/>
        <v>-5.0000000000000044E-2</v>
      </c>
      <c r="R27" s="6">
        <f t="shared" si="35"/>
        <v>-5.0000000000000044E-2</v>
      </c>
      <c r="S27" s="6">
        <f t="shared" si="35"/>
        <v>-5.0000000000000044E-2</v>
      </c>
      <c r="T27" s="6">
        <f t="shared" si="35"/>
        <v>-5.0000000000000044E-2</v>
      </c>
      <c r="U27" s="6">
        <f t="shared" si="35"/>
        <v>-5.0000000000000044E-2</v>
      </c>
    </row>
    <row r="28" spans="2:40" x14ac:dyDescent="0.2">
      <c r="B28" s="4" t="s">
        <v>30</v>
      </c>
      <c r="C28" s="4"/>
      <c r="D28" s="4"/>
      <c r="E28" s="4"/>
      <c r="F28" s="4"/>
      <c r="G28" s="7">
        <f t="shared" si="29"/>
        <v>0.13766779761026715</v>
      </c>
      <c r="H28" s="7">
        <f t="shared" si="30"/>
        <v>8.4977813937605839E-2</v>
      </c>
      <c r="I28" s="7">
        <f>+I12/E12-1</f>
        <v>6.9222665055565846E-2</v>
      </c>
      <c r="J28" s="7">
        <f t="shared" si="32"/>
        <v>0.1110290269954135</v>
      </c>
      <c r="M28" s="7">
        <f t="shared" si="33"/>
        <v>0.98783117044653568</v>
      </c>
      <c r="N28" s="7">
        <f t="shared" si="34"/>
        <v>0.25717913420726046</v>
      </c>
      <c r="O28" s="7">
        <f>+O12/N12-1</f>
        <v>9.9746618924235753E-2</v>
      </c>
      <c r="P28" s="7">
        <f t="shared" ref="P28:U28" si="36">+P12/O12-1</f>
        <v>0.10990470685557119</v>
      </c>
      <c r="Q28" s="7">
        <f t="shared" si="36"/>
        <v>7.9215087095801495E-2</v>
      </c>
      <c r="R28" s="7">
        <f t="shared" si="36"/>
        <v>8.182192695069368E-2</v>
      </c>
      <c r="S28" s="7">
        <f t="shared" si="36"/>
        <v>7.1099987958412658E-2</v>
      </c>
      <c r="T28" s="7">
        <f t="shared" si="36"/>
        <v>7.2732355268732451E-2</v>
      </c>
      <c r="U28" s="7">
        <f t="shared" si="36"/>
        <v>7.429734365431262E-2</v>
      </c>
    </row>
    <row r="30" spans="2:40" x14ac:dyDescent="0.2">
      <c r="B30" s="1" t="s">
        <v>35</v>
      </c>
      <c r="C30" s="6">
        <f t="shared" ref="C30:H30" si="37">+C14/C12</f>
        <v>0.73399468948222457</v>
      </c>
      <c r="D30" s="6">
        <f t="shared" si="37"/>
        <v>0.76807027791888605</v>
      </c>
      <c r="E30" s="6">
        <f t="shared" si="37"/>
        <v>0.75365794001175834</v>
      </c>
      <c r="F30" s="6">
        <f t="shared" si="37"/>
        <v>0.75291655123587897</v>
      </c>
      <c r="G30" s="6">
        <f t="shared" si="37"/>
        <v>0.73746312684365778</v>
      </c>
      <c r="H30" s="6">
        <f t="shared" si="37"/>
        <v>0.73755238041170668</v>
      </c>
      <c r="I30" s="6">
        <f>+I14/I12</f>
        <v>0.74412142380347146</v>
      </c>
      <c r="J30" s="6">
        <f t="shared" ref="J30" si="38">+J14/J12</f>
        <v>0.75652463013243187</v>
      </c>
      <c r="L30" s="6">
        <f t="shared" ref="L30:M30" si="39">+L14/L12</f>
        <v>0.6447199303453709</v>
      </c>
      <c r="M30" s="6">
        <f t="shared" si="39"/>
        <v>0.72157390315886072</v>
      </c>
      <c r="N30" s="6">
        <f t="shared" ref="N30:O30" si="40">+N14/N12</f>
        <v>0.75256775942526588</v>
      </c>
      <c r="O30" s="6">
        <f t="shared" si="40"/>
        <v>0.74436041678436826</v>
      </c>
      <c r="P30" s="6">
        <f t="shared" ref="P30:U30" si="41">+P14/P12</f>
        <v>0.76</v>
      </c>
      <c r="Q30" s="6">
        <f t="shared" si="41"/>
        <v>0.76</v>
      </c>
      <c r="R30" s="6">
        <f t="shared" si="41"/>
        <v>0.76000000000000012</v>
      </c>
      <c r="S30" s="6">
        <f t="shared" si="41"/>
        <v>0.76</v>
      </c>
      <c r="T30" s="6">
        <f t="shared" si="41"/>
        <v>0.76</v>
      </c>
      <c r="U30" s="6">
        <f t="shared" si="41"/>
        <v>0.76</v>
      </c>
    </row>
    <row r="31" spans="2:40" x14ac:dyDescent="0.2">
      <c r="B31" s="1" t="s">
        <v>36</v>
      </c>
      <c r="C31" s="6">
        <f t="shared" ref="C31:H31" si="42">+C20/C12</f>
        <v>0.11318041008998372</v>
      </c>
      <c r="D31" s="6">
        <f t="shared" si="42"/>
        <v>0.14319122588697694</v>
      </c>
      <c r="E31" s="6">
        <f t="shared" si="42"/>
        <v>0.16036685455058486</v>
      </c>
      <c r="F31" s="6">
        <f t="shared" si="42"/>
        <v>0.22744482408347952</v>
      </c>
      <c r="G31" s="6">
        <f t="shared" si="42"/>
        <v>0.15679600635352844</v>
      </c>
      <c r="H31" s="6">
        <f t="shared" si="42"/>
        <v>0.20341130063127869</v>
      </c>
      <c r="I31" s="6">
        <f>+I20/I12</f>
        <v>0.19954647175218398</v>
      </c>
      <c r="J31" s="6">
        <f t="shared" ref="J31" si="43">+J20/J12</f>
        <v>-0.78223527456086894</v>
      </c>
      <c r="L31" s="6">
        <f t="shared" ref="L31:M31" si="44">+L20/L12</f>
        <v>-0.29748331191177069</v>
      </c>
      <c r="M31" s="6">
        <f t="shared" si="44"/>
        <v>-4.0025446088706847E-2</v>
      </c>
      <c r="N31" s="6">
        <f t="shared" ref="N31:O31" si="45">+N20/N12</f>
        <v>0.16361988608013381</v>
      </c>
      <c r="O31" s="6">
        <f t="shared" si="45"/>
        <v>-7.6761994257247973E-2</v>
      </c>
      <c r="P31" s="6">
        <f t="shared" ref="P31:U31" si="46">+P20/P12</f>
        <v>0.28380480546846731</v>
      </c>
      <c r="Q31" s="6">
        <f t="shared" si="46"/>
        <v>0.30325651829084949</v>
      </c>
      <c r="R31" s="6">
        <f t="shared" si="46"/>
        <v>0.32337765197170731</v>
      </c>
      <c r="S31" s="6">
        <f t="shared" si="46"/>
        <v>0.34079598902393626</v>
      </c>
      <c r="T31" s="6">
        <f t="shared" si="46"/>
        <v>0.35856994314889762</v>
      </c>
      <c r="U31" s="6">
        <f t="shared" si="46"/>
        <v>0.37665753247505657</v>
      </c>
    </row>
    <row r="33" spans="2:21" x14ac:dyDescent="0.2">
      <c r="B33" s="1" t="s">
        <v>41</v>
      </c>
      <c r="G33" s="6">
        <f t="shared" ref="G33:I33" si="47">+G3/C3-1</f>
        <v>0.32025587625054075</v>
      </c>
      <c r="H33" s="6">
        <f t="shared" si="47"/>
        <v>0.29503366835837741</v>
      </c>
      <c r="I33" s="6">
        <f t="shared" si="47"/>
        <v>0.20449364665971159</v>
      </c>
      <c r="J33" s="6">
        <f>+J3/F3-1</f>
        <v>0.1847170450406046</v>
      </c>
      <c r="O33" s="1">
        <f>+O3/N3-1</f>
        <v>0.1847170450406046</v>
      </c>
    </row>
    <row r="34" spans="2:21" x14ac:dyDescent="0.2">
      <c r="B34" s="1" t="s">
        <v>42</v>
      </c>
    </row>
    <row r="36" spans="2:21" x14ac:dyDescent="0.2">
      <c r="B36" s="1" t="s">
        <v>44</v>
      </c>
      <c r="J36" s="1">
        <v>4704.1000000000004</v>
      </c>
      <c r="L36" s="1">
        <v>2291.5</v>
      </c>
      <c r="M36" s="1">
        <v>3489.6</v>
      </c>
      <c r="N36" s="1">
        <v>5053.3</v>
      </c>
      <c r="O36" s="1">
        <v>4704.1000000000004</v>
      </c>
      <c r="P36" s="3">
        <f>+O36+P22</f>
        <v>8044.9272098399988</v>
      </c>
      <c r="Q36" s="3">
        <f t="shared" ref="Q36:U36" si="48">+P36+Q22</f>
        <v>11897.513917606557</v>
      </c>
      <c r="R36" s="3">
        <f t="shared" si="48"/>
        <v>16341.861946586872</v>
      </c>
      <c r="S36" s="3">
        <f t="shared" si="48"/>
        <v>21358.612950561641</v>
      </c>
      <c r="T36" s="3">
        <f t="shared" si="48"/>
        <v>27020.918925399317</v>
      </c>
      <c r="U36" s="3">
        <f t="shared" si="48"/>
        <v>33410.768143562513</v>
      </c>
    </row>
    <row r="38" spans="2:21" x14ac:dyDescent="0.2">
      <c r="B38" s="13" t="s">
        <v>45</v>
      </c>
      <c r="L38" s="3"/>
      <c r="M38" s="3"/>
      <c r="N38" s="3"/>
      <c r="O38" s="3"/>
    </row>
    <row r="39" spans="2:21" x14ac:dyDescent="0.2">
      <c r="B39" s="13" t="s">
        <v>46</v>
      </c>
      <c r="L39" s="3"/>
      <c r="M39" s="3"/>
      <c r="N39" s="3"/>
      <c r="O39" s="3"/>
    </row>
    <row r="40" spans="2:21" x14ac:dyDescent="0.2">
      <c r="B40" s="13" t="s">
        <v>47</v>
      </c>
      <c r="L40" s="3"/>
      <c r="M40" s="3"/>
      <c r="N40" s="3">
        <v>2176.4160000000002</v>
      </c>
      <c r="O40" s="3">
        <v>5227.6540000000005</v>
      </c>
    </row>
    <row r="41" spans="2:21" x14ac:dyDescent="0.2">
      <c r="B41" s="13" t="s">
        <v>48</v>
      </c>
      <c r="L41" s="3"/>
      <c r="M41" s="3"/>
      <c r="N41" s="3">
        <v>3481.4960000000001</v>
      </c>
      <c r="O41" s="3">
        <v>517.87400000000002</v>
      </c>
    </row>
    <row r="42" spans="2:21" x14ac:dyDescent="0.2">
      <c r="B42" s="13" t="s">
        <v>49</v>
      </c>
      <c r="L42" s="3"/>
      <c r="M42" s="3"/>
      <c r="N42" s="3">
        <v>6397.8980000000001</v>
      </c>
      <c r="O42" s="3">
        <v>8805.8819999999996</v>
      </c>
    </row>
    <row r="43" spans="2:21" x14ac:dyDescent="0.2">
      <c r="B43" s="13" t="s">
        <v>50</v>
      </c>
      <c r="L43" s="3"/>
      <c r="M43" s="3"/>
      <c r="N43" s="3">
        <v>23895.511999999999</v>
      </c>
      <c r="O43" s="3">
        <v>29231.82</v>
      </c>
    </row>
    <row r="44" spans="2:21" x14ac:dyDescent="0.2">
      <c r="B44" s="13" t="s">
        <v>51</v>
      </c>
      <c r="L44" s="3"/>
      <c r="M44" s="3"/>
      <c r="N44" s="3">
        <v>459.947</v>
      </c>
      <c r="O44" s="3">
        <v>390.57499999999999</v>
      </c>
    </row>
    <row r="45" spans="2:21" x14ac:dyDescent="0.2">
      <c r="B45" s="13" t="s">
        <v>52</v>
      </c>
      <c r="L45" s="3"/>
      <c r="M45" s="3"/>
      <c r="N45" s="3">
        <v>209.95699999999999</v>
      </c>
      <c r="O45" s="3">
        <v>891.71799999999996</v>
      </c>
    </row>
    <row r="46" spans="2:21" x14ac:dyDescent="0.2">
      <c r="B46" s="13" t="s">
        <v>53</v>
      </c>
      <c r="L46" s="3"/>
      <c r="M46" s="3"/>
      <c r="N46" s="3">
        <v>146.339</v>
      </c>
      <c r="O46" s="3">
        <v>372.43200000000002</v>
      </c>
    </row>
    <row r="47" spans="2:21" x14ac:dyDescent="0.2">
      <c r="B47" s="13" t="s">
        <v>54</v>
      </c>
      <c r="L47" s="3"/>
      <c r="M47" s="3"/>
      <c r="N47" s="3">
        <v>4.1820000000000004</v>
      </c>
      <c r="O47" s="3">
        <v>156.81399999999999</v>
      </c>
    </row>
    <row r="48" spans="2:21" x14ac:dyDescent="0.2">
      <c r="B48" s="13" t="s">
        <v>55</v>
      </c>
      <c r="L48" s="3"/>
      <c r="M48" s="3"/>
      <c r="N48" s="3">
        <v>380.85399999999998</v>
      </c>
      <c r="O48" s="3">
        <v>370.255</v>
      </c>
    </row>
    <row r="49" spans="2:15" x14ac:dyDescent="0.2">
      <c r="B49" s="13" t="s">
        <v>56</v>
      </c>
      <c r="L49" s="3"/>
      <c r="M49" s="3"/>
      <c r="N49" s="3"/>
      <c r="O49" s="3"/>
    </row>
    <row r="50" spans="2:15" x14ac:dyDescent="0.2">
      <c r="B50" s="13" t="s">
        <v>57</v>
      </c>
      <c r="L50" s="3"/>
      <c r="M50" s="3"/>
      <c r="N50" s="3">
        <v>45.701999999999998</v>
      </c>
      <c r="O50" s="3">
        <v>32.628999999999998</v>
      </c>
    </row>
    <row r="51" spans="2:15" x14ac:dyDescent="0.2">
      <c r="B51" s="13" t="s">
        <v>50</v>
      </c>
      <c r="L51" s="3"/>
      <c r="M51" s="3"/>
      <c r="N51" s="3">
        <v>81.596999999999994</v>
      </c>
      <c r="O51" s="3">
        <v>116.245</v>
      </c>
    </row>
    <row r="52" spans="2:15" x14ac:dyDescent="0.2">
      <c r="B52" s="13" t="s">
        <v>51</v>
      </c>
      <c r="L52" s="3"/>
      <c r="M52" s="3"/>
      <c r="N52" s="3">
        <v>28.533000000000001</v>
      </c>
      <c r="O52" s="3">
        <v>25.527999999999999</v>
      </c>
    </row>
    <row r="53" spans="2:15" x14ac:dyDescent="0.2">
      <c r="B53" s="13" t="s">
        <v>52</v>
      </c>
      <c r="L53" s="3"/>
      <c r="M53" s="3"/>
      <c r="N53" s="3">
        <v>40.79</v>
      </c>
      <c r="O53" s="3">
        <v>171.40100000000001</v>
      </c>
    </row>
    <row r="54" spans="2:15" x14ac:dyDescent="0.2">
      <c r="B54" s="13" t="s">
        <v>58</v>
      </c>
      <c r="L54" s="3"/>
      <c r="M54" s="3"/>
      <c r="N54" s="3">
        <v>2.512</v>
      </c>
      <c r="O54" s="3">
        <v>0.61299999999999999</v>
      </c>
    </row>
    <row r="55" spans="2:15" x14ac:dyDescent="0.2">
      <c r="B55" s="13" t="s">
        <v>59</v>
      </c>
      <c r="L55" s="3"/>
      <c r="M55" s="3"/>
      <c r="N55" s="3">
        <v>664.49199999999996</v>
      </c>
      <c r="O55" s="3">
        <v>871.64</v>
      </c>
    </row>
    <row r="56" spans="2:15" x14ac:dyDescent="0.2">
      <c r="B56" s="13" t="s">
        <v>54</v>
      </c>
      <c r="L56" s="3"/>
      <c r="M56" s="3"/>
      <c r="N56" s="3">
        <v>0</v>
      </c>
      <c r="O56" s="3">
        <v>103.374</v>
      </c>
    </row>
    <row r="57" spans="2:15" x14ac:dyDescent="0.2">
      <c r="B57" s="13" t="s">
        <v>55</v>
      </c>
      <c r="L57" s="3"/>
      <c r="M57" s="3"/>
      <c r="N57" s="3">
        <v>137.50800000000001</v>
      </c>
      <c r="O57" s="3">
        <v>159.15899999999999</v>
      </c>
    </row>
    <row r="58" spans="2:15" x14ac:dyDescent="0.2">
      <c r="B58" s="13" t="s">
        <v>60</v>
      </c>
      <c r="L58" s="3"/>
      <c r="M58" s="3"/>
      <c r="N58" s="3">
        <v>83.01</v>
      </c>
      <c r="O58" s="3">
        <v>75.751000000000005</v>
      </c>
    </row>
    <row r="59" spans="2:15" x14ac:dyDescent="0.2">
      <c r="B59" s="13" t="s">
        <v>61</v>
      </c>
      <c r="L59" s="3"/>
      <c r="M59" s="3"/>
      <c r="N59" s="3">
        <v>1661.8969999999999</v>
      </c>
      <c r="O59" s="3">
        <v>1833.9970000000001</v>
      </c>
    </row>
    <row r="60" spans="2:15" x14ac:dyDescent="0.2">
      <c r="B60" s="13" t="s">
        <v>62</v>
      </c>
      <c r="L60" s="3"/>
      <c r="M60" s="3"/>
      <c r="N60" s="3">
        <v>8794.9189999999999</v>
      </c>
      <c r="O60" s="3">
        <v>5458.1019999999999</v>
      </c>
    </row>
    <row r="61" spans="2:15" x14ac:dyDescent="0.2">
      <c r="B61" s="14" t="s">
        <v>63</v>
      </c>
      <c r="L61" s="3"/>
      <c r="M61" s="3"/>
      <c r="N61" s="3">
        <f t="shared" ref="N61" si="49">+SUM(N40:N60)</f>
        <v>48693.561000000009</v>
      </c>
      <c r="O61" s="3">
        <f>+SUM(O40:O60)</f>
        <v>54813.462999999989</v>
      </c>
    </row>
    <row r="62" spans="2:15" x14ac:dyDescent="0.2">
      <c r="B62" s="14"/>
      <c r="L62" s="3"/>
      <c r="M62" s="3"/>
      <c r="N62" s="3"/>
      <c r="O62" s="3"/>
    </row>
    <row r="63" spans="2:15" x14ac:dyDescent="0.2">
      <c r="B63" s="13" t="s">
        <v>64</v>
      </c>
      <c r="L63" s="3"/>
      <c r="M63" s="3"/>
      <c r="N63" s="3"/>
      <c r="O63" s="3"/>
    </row>
    <row r="64" spans="2:15" x14ac:dyDescent="0.2">
      <c r="B64" s="13" t="s">
        <v>65</v>
      </c>
      <c r="L64" s="3"/>
      <c r="M64" s="3"/>
      <c r="N64" s="3"/>
      <c r="O64" s="3"/>
    </row>
    <row r="65" spans="2:15" x14ac:dyDescent="0.2">
      <c r="B65" s="13" t="s">
        <v>66</v>
      </c>
      <c r="L65" s="3"/>
      <c r="M65" s="3"/>
      <c r="N65" s="3">
        <v>6119.4549999999999</v>
      </c>
      <c r="O65" s="3">
        <v>8704.8089999999993</v>
      </c>
    </row>
    <row r="66" spans="2:15" x14ac:dyDescent="0.2">
      <c r="B66" s="13" t="s">
        <v>67</v>
      </c>
      <c r="L66" s="3"/>
      <c r="M66" s="3"/>
      <c r="N66" s="3">
        <v>19163.671999999999</v>
      </c>
      <c r="O66" s="3">
        <v>17756.72</v>
      </c>
    </row>
    <row r="67" spans="2:15" x14ac:dyDescent="0.2">
      <c r="B67" s="13" t="s">
        <v>68</v>
      </c>
      <c r="L67" s="3"/>
      <c r="M67" s="3"/>
      <c r="N67" s="3">
        <v>513.87699999999995</v>
      </c>
      <c r="O67" s="3">
        <v>672.18200000000002</v>
      </c>
    </row>
    <row r="68" spans="2:15" x14ac:dyDescent="0.2">
      <c r="B68" s="13" t="s">
        <v>69</v>
      </c>
      <c r="L68" s="3"/>
      <c r="M68" s="3"/>
      <c r="N68" s="3">
        <v>475.31900000000002</v>
      </c>
      <c r="O68" s="3">
        <v>3065.9989999999998</v>
      </c>
    </row>
    <row r="69" spans="2:15" x14ac:dyDescent="0.2">
      <c r="B69" s="13" t="s">
        <v>70</v>
      </c>
      <c r="L69" s="3"/>
      <c r="M69" s="3"/>
      <c r="N69" s="3">
        <v>1404.6780000000001</v>
      </c>
      <c r="O69" s="3">
        <v>1903.84</v>
      </c>
    </row>
    <row r="70" spans="2:15" x14ac:dyDescent="0.2">
      <c r="B70" s="13" t="s">
        <v>71</v>
      </c>
      <c r="L70" s="3"/>
      <c r="M70" s="3"/>
      <c r="N70" s="3">
        <v>515.74900000000002</v>
      </c>
      <c r="O70" s="3">
        <v>578.34500000000003</v>
      </c>
    </row>
    <row r="71" spans="2:15" x14ac:dyDescent="0.2">
      <c r="B71" s="13" t="s">
        <v>72</v>
      </c>
      <c r="L71" s="3"/>
      <c r="M71" s="3"/>
      <c r="N71" s="3">
        <v>514.29899999999998</v>
      </c>
      <c r="O71" s="3">
        <v>560.25</v>
      </c>
    </row>
    <row r="72" spans="2:15" x14ac:dyDescent="0.2">
      <c r="B72" s="13" t="s">
        <v>54</v>
      </c>
      <c r="L72" s="3"/>
      <c r="M72" s="3"/>
      <c r="N72" s="3">
        <v>4.5579999999999998</v>
      </c>
      <c r="O72" s="3">
        <v>10.593</v>
      </c>
    </row>
    <row r="73" spans="2:15" x14ac:dyDescent="0.2">
      <c r="B73" s="13" t="s">
        <v>73</v>
      </c>
      <c r="L73" s="3"/>
      <c r="M73" s="3"/>
      <c r="N73" s="3">
        <v>119.526</v>
      </c>
      <c r="O73" s="3">
        <v>281.07299999999998</v>
      </c>
    </row>
    <row r="74" spans="2:15" x14ac:dyDescent="0.2">
      <c r="B74" s="13" t="s">
        <v>74</v>
      </c>
      <c r="L74" s="3"/>
      <c r="M74" s="3"/>
      <c r="N74" s="3"/>
      <c r="O74" s="3"/>
    </row>
    <row r="75" spans="2:15" x14ac:dyDescent="0.2">
      <c r="B75" s="13" t="s">
        <v>67</v>
      </c>
      <c r="L75" s="3"/>
      <c r="M75" s="3"/>
      <c r="N75" s="3">
        <v>35.454999999999998</v>
      </c>
      <c r="O75" s="3">
        <v>50.673999999999999</v>
      </c>
    </row>
    <row r="76" spans="2:15" x14ac:dyDescent="0.2">
      <c r="B76" s="13" t="s">
        <v>69</v>
      </c>
      <c r="L76" s="3"/>
      <c r="M76" s="3"/>
      <c r="N76" s="3">
        <v>3495.759</v>
      </c>
      <c r="O76" s="3">
        <v>5429.9629999999997</v>
      </c>
    </row>
    <row r="77" spans="2:15" x14ac:dyDescent="0.2">
      <c r="B77" s="13" t="s">
        <v>70</v>
      </c>
      <c r="L77" s="3"/>
      <c r="M77" s="3"/>
      <c r="N77" s="3">
        <v>143.45599999999999</v>
      </c>
      <c r="O77" s="3">
        <v>2496.1390000000001</v>
      </c>
    </row>
    <row r="78" spans="2:15" x14ac:dyDescent="0.2">
      <c r="B78" s="13" t="s">
        <v>54</v>
      </c>
      <c r="L78" s="3"/>
      <c r="M78" s="3"/>
      <c r="N78" s="3">
        <v>311.613</v>
      </c>
      <c r="O78" s="3">
        <v>281.17700000000002</v>
      </c>
    </row>
    <row r="79" spans="2:15" x14ac:dyDescent="0.2">
      <c r="B79" s="13" t="s">
        <v>75</v>
      </c>
      <c r="L79" s="3"/>
      <c r="M79" s="3"/>
      <c r="N79" s="3">
        <v>546.51400000000001</v>
      </c>
      <c r="O79" s="3">
        <v>680.67200000000003</v>
      </c>
    </row>
    <row r="80" spans="2:15" x14ac:dyDescent="0.2">
      <c r="B80" s="13" t="s">
        <v>76</v>
      </c>
      <c r="L80" s="3"/>
      <c r="M80" s="3"/>
      <c r="N80" s="3">
        <v>208.86600000000001</v>
      </c>
      <c r="O80" s="3">
        <v>237.40600000000001</v>
      </c>
    </row>
    <row r="81" spans="2:15" x14ac:dyDescent="0.2">
      <c r="B81" s="13" t="s">
        <v>71</v>
      </c>
      <c r="L81" s="3"/>
      <c r="M81" s="3"/>
      <c r="N81" s="3">
        <v>34.301000000000002</v>
      </c>
      <c r="O81" s="3">
        <v>39.515000000000001</v>
      </c>
    </row>
    <row r="82" spans="2:15" x14ac:dyDescent="0.2">
      <c r="B82" s="13" t="s">
        <v>73</v>
      </c>
      <c r="L82" s="3"/>
      <c r="M82" s="3"/>
      <c r="N82" s="3">
        <v>410.50400000000002</v>
      </c>
      <c r="O82" s="3">
        <v>236.822</v>
      </c>
    </row>
    <row r="83" spans="2:15" x14ac:dyDescent="0.2">
      <c r="B83" s="4" t="s">
        <v>77</v>
      </c>
      <c r="L83" s="3"/>
      <c r="M83" s="3"/>
      <c r="N83" s="3">
        <f t="shared" ref="N83" si="50">+SUM(N65:N82)</f>
        <v>34017.601000000002</v>
      </c>
      <c r="O83" s="3">
        <f>+SUM(O65:O82)</f>
        <v>42986.179000000011</v>
      </c>
    </row>
    <row r="84" spans="2:15" x14ac:dyDescent="0.2">
      <c r="L84" s="3"/>
      <c r="M84" s="3"/>
      <c r="N84" s="3"/>
      <c r="O84" s="3"/>
    </row>
    <row r="85" spans="2:15" x14ac:dyDescent="0.2">
      <c r="B85" s="4" t="s">
        <v>78</v>
      </c>
      <c r="L85" s="3"/>
      <c r="M85" s="3"/>
      <c r="N85" s="3">
        <f t="shared" ref="N85" si="51">+N61-N83</f>
        <v>14675.960000000006</v>
      </c>
      <c r="O85" s="3">
        <f>+O61-O83</f>
        <v>11827.283999999978</v>
      </c>
    </row>
    <row r="86" spans="2:15" x14ac:dyDescent="0.2">
      <c r="B86" s="1" t="s">
        <v>79</v>
      </c>
      <c r="N86" s="3">
        <f ca="1">+N85/main!$C$2</f>
        <v>2561.9202234441836</v>
      </c>
      <c r="O86" s="3">
        <f ca="1">+O85/main!$C$2</f>
        <v>2064.6389107096056</v>
      </c>
    </row>
    <row r="88" spans="2:15" x14ac:dyDescent="0.2">
      <c r="D88" s="1">
        <v>2023</v>
      </c>
      <c r="E88" s="1">
        <v>2022</v>
      </c>
    </row>
    <row r="89" spans="2:15" x14ac:dyDescent="0.2">
      <c r="B89" s="1" t="s">
        <v>81</v>
      </c>
    </row>
    <row r="90" spans="2:15" x14ac:dyDescent="0.2">
      <c r="B90" s="1" t="s">
        <v>82</v>
      </c>
      <c r="M90" s="3">
        <v>-526.39599999999996</v>
      </c>
      <c r="N90" s="3">
        <v>1600.42</v>
      </c>
      <c r="O90" s="3">
        <v>-1507.05</v>
      </c>
    </row>
    <row r="91" spans="2:15" x14ac:dyDescent="0.2">
      <c r="B91" s="1" t="s">
        <v>83</v>
      </c>
      <c r="M91" s="3"/>
      <c r="N91" s="3"/>
      <c r="O91" s="3"/>
    </row>
    <row r="92" spans="2:15" x14ac:dyDescent="0.2">
      <c r="B92" s="1" t="s">
        <v>84</v>
      </c>
      <c r="M92" s="3">
        <v>800.32600000000002</v>
      </c>
      <c r="N92" s="3">
        <v>878.18100000000004</v>
      </c>
      <c r="O92" s="3">
        <v>949.39400000000001</v>
      </c>
    </row>
    <row r="93" spans="2:15" x14ac:dyDescent="0.2">
      <c r="B93" s="1" t="s">
        <v>85</v>
      </c>
      <c r="M93" s="3">
        <v>-153.05000000000001</v>
      </c>
      <c r="N93" s="3">
        <v>24.655000000000001</v>
      </c>
      <c r="O93" s="3">
        <v>-38.497999999999998</v>
      </c>
    </row>
    <row r="94" spans="2:15" x14ac:dyDescent="0.2">
      <c r="B94" s="1" t="s">
        <v>86</v>
      </c>
      <c r="M94" s="3">
        <v>3.589</v>
      </c>
      <c r="N94" s="3">
        <v>4.1790000000000003</v>
      </c>
      <c r="O94" s="3">
        <v>-0.39900000000000002</v>
      </c>
    </row>
    <row r="95" spans="2:15" x14ac:dyDescent="0.2">
      <c r="B95" s="1" t="s">
        <v>88</v>
      </c>
      <c r="M95" s="3">
        <v>-382.70699999999999</v>
      </c>
      <c r="N95" s="3">
        <v>-195.41900000000001</v>
      </c>
      <c r="O95" s="3">
        <v>174.07900000000001</v>
      </c>
    </row>
    <row r="96" spans="2:15" x14ac:dyDescent="0.2">
      <c r="B96" s="1" t="s">
        <v>76</v>
      </c>
      <c r="M96" s="3">
        <v>18.849</v>
      </c>
      <c r="N96" s="3">
        <v>5.8250000000000002</v>
      </c>
      <c r="O96" s="3">
        <v>61.225999999999999</v>
      </c>
    </row>
    <row r="97" spans="2:15" x14ac:dyDescent="0.2">
      <c r="B97" s="1" t="s">
        <v>89</v>
      </c>
      <c r="M97" s="3">
        <v>213.07599999999999</v>
      </c>
      <c r="N97" s="3">
        <v>251.239</v>
      </c>
      <c r="O97" s="3">
        <v>232.672</v>
      </c>
    </row>
    <row r="98" spans="2:15" x14ac:dyDescent="0.2">
      <c r="B98" s="1" t="s">
        <v>90</v>
      </c>
      <c r="M98" s="3">
        <v>88.572000000000003</v>
      </c>
      <c r="N98" s="3">
        <v>160.19499999999999</v>
      </c>
      <c r="O98" s="3">
        <v>143.45099999999999</v>
      </c>
    </row>
    <row r="99" spans="2:15" x14ac:dyDescent="0.2">
      <c r="B99" s="1" t="s">
        <v>91</v>
      </c>
      <c r="M99" s="3">
        <v>25.347000000000001</v>
      </c>
      <c r="N99" s="3">
        <v>66.2</v>
      </c>
      <c r="O99" s="3">
        <v>23.364999999999998</v>
      </c>
    </row>
    <row r="100" spans="2:15" x14ac:dyDescent="0.2">
      <c r="B100" s="1" t="s">
        <v>92</v>
      </c>
      <c r="M100" s="3">
        <v>0</v>
      </c>
      <c r="N100" s="3"/>
      <c r="O100" s="3">
        <v>3558.049</v>
      </c>
    </row>
    <row r="101" spans="2:15" x14ac:dyDescent="0.2">
      <c r="B101" s="1" t="s">
        <v>93</v>
      </c>
      <c r="M101" s="3">
        <v>3.8519999999999999</v>
      </c>
      <c r="N101" s="3">
        <v>3.6520000000000001</v>
      </c>
      <c r="O101" s="3">
        <v>-0.184</v>
      </c>
    </row>
    <row r="102" spans="2:15" x14ac:dyDescent="0.2">
      <c r="B102" s="1" t="s">
        <v>94</v>
      </c>
      <c r="M102" s="3">
        <v>20.308</v>
      </c>
      <c r="N102" s="3">
        <v>10.926</v>
      </c>
      <c r="O102" s="3">
        <v>58.244</v>
      </c>
    </row>
    <row r="103" spans="2:15" x14ac:dyDescent="0.2">
      <c r="B103" s="1" t="s">
        <v>95</v>
      </c>
      <c r="M103" s="3">
        <v>1179.547</v>
      </c>
      <c r="N103" s="3">
        <v>96.563000000000002</v>
      </c>
      <c r="O103" s="3">
        <v>-441.47800000000001</v>
      </c>
    </row>
    <row r="104" spans="2:15" x14ac:dyDescent="0.2">
      <c r="B104" s="1" t="s">
        <v>96</v>
      </c>
      <c r="M104" s="3">
        <v>90.820999999999998</v>
      </c>
      <c r="N104" s="3">
        <v>20.32</v>
      </c>
      <c r="O104" s="3">
        <v>485.97699999999998</v>
      </c>
    </row>
    <row r="105" spans="2:15" x14ac:dyDescent="0.2">
      <c r="B105" s="1" t="s">
        <v>97</v>
      </c>
      <c r="M105" s="3">
        <v>0</v>
      </c>
      <c r="N105" s="3">
        <v>0</v>
      </c>
      <c r="O105" s="3">
        <v>0</v>
      </c>
    </row>
    <row r="106" spans="2:15" x14ac:dyDescent="0.2">
      <c r="B106" s="1" t="s">
        <v>98</v>
      </c>
      <c r="M106" s="3">
        <v>0</v>
      </c>
      <c r="N106" s="3">
        <v>1.1679999999999999</v>
      </c>
      <c r="O106" s="3">
        <v>0</v>
      </c>
    </row>
    <row r="107" spans="2:15" x14ac:dyDescent="0.2">
      <c r="B107" s="1" t="s">
        <v>99</v>
      </c>
      <c r="M107" s="3"/>
      <c r="N107" s="3"/>
      <c r="O107" s="3"/>
    </row>
    <row r="108" spans="2:15" x14ac:dyDescent="0.2">
      <c r="B108" s="1" t="s">
        <v>50</v>
      </c>
      <c r="M108" s="3">
        <v>740.19</v>
      </c>
      <c r="N108" s="3">
        <v>32.304000000000002</v>
      </c>
      <c r="O108" s="3">
        <v>-2981.8440000000001</v>
      </c>
    </row>
    <row r="109" spans="2:15" x14ac:dyDescent="0.2">
      <c r="B109" s="1" t="s">
        <v>58</v>
      </c>
      <c r="M109" s="3">
        <v>12.912000000000001</v>
      </c>
      <c r="N109" s="3">
        <v>20.343</v>
      </c>
      <c r="O109" s="3">
        <v>27.974</v>
      </c>
    </row>
    <row r="110" spans="2:15" x14ac:dyDescent="0.2">
      <c r="B110" s="1" t="s">
        <v>53</v>
      </c>
      <c r="M110" s="3">
        <v>261.86700000000002</v>
      </c>
      <c r="N110" s="3">
        <v>138.98699999999999</v>
      </c>
      <c r="O110" s="3">
        <v>-0.24399999999999999</v>
      </c>
    </row>
    <row r="111" spans="2:15" x14ac:dyDescent="0.2">
      <c r="B111" s="1" t="s">
        <v>100</v>
      </c>
      <c r="M111" s="3">
        <v>152.96600000000001</v>
      </c>
      <c r="N111" s="3">
        <v>41.31</v>
      </c>
      <c r="O111" s="3">
        <v>54.488999999999997</v>
      </c>
    </row>
    <row r="112" spans="2:15" x14ac:dyDescent="0.2">
      <c r="B112" s="1" t="s">
        <v>101</v>
      </c>
      <c r="M112" s="3">
        <v>707.52099999999996</v>
      </c>
      <c r="N112" s="3">
        <v>205.10499999999999</v>
      </c>
      <c r="O112" s="3">
        <v>810.74800000000005</v>
      </c>
    </row>
    <row r="113" spans="1:15" x14ac:dyDescent="0.2">
      <c r="B113" s="1" t="s">
        <v>52</v>
      </c>
      <c r="M113" s="3">
        <v>0</v>
      </c>
      <c r="N113" s="3">
        <v>-312.80799999999999</v>
      </c>
      <c r="O113" s="3">
        <v>-670.78</v>
      </c>
    </row>
    <row r="114" spans="1:15" x14ac:dyDescent="0.2">
      <c r="B114" s="1" t="s">
        <v>67</v>
      </c>
      <c r="M114" s="3">
        <v>-3633.9369999999999</v>
      </c>
      <c r="N114" s="3">
        <f>-3382.075</f>
        <v>-3382.0749999999998</v>
      </c>
      <c r="O114" s="3">
        <v>-8507.3430000000008</v>
      </c>
    </row>
    <row r="115" spans="1:15" x14ac:dyDescent="0.2">
      <c r="B115" s="1" t="s">
        <v>72</v>
      </c>
      <c r="M115" s="3">
        <v>137.625</v>
      </c>
      <c r="N115" s="3">
        <v>169.827</v>
      </c>
      <c r="O115" s="3">
        <v>-6.2590000000000003</v>
      </c>
    </row>
    <row r="116" spans="1:15" x14ac:dyDescent="0.2">
      <c r="B116" s="1" t="s">
        <v>71</v>
      </c>
      <c r="M116" s="3">
        <v>171.29300000000001</v>
      </c>
      <c r="N116" s="3">
        <v>19.283999999999999</v>
      </c>
      <c r="O116" s="3">
        <v>29.690999999999999</v>
      </c>
    </row>
    <row r="117" spans="1:15" x14ac:dyDescent="0.2">
      <c r="B117" s="1" t="s">
        <v>102</v>
      </c>
      <c r="M117" s="3">
        <v>-9.7989999999999995</v>
      </c>
      <c r="N117" s="3">
        <v>-34.012</v>
      </c>
      <c r="O117" s="3">
        <v>-58.939</v>
      </c>
    </row>
    <row r="118" spans="1:15" x14ac:dyDescent="0.2">
      <c r="B118" s="1" t="s">
        <v>103</v>
      </c>
      <c r="M118" s="3">
        <v>323.61900000000003</v>
      </c>
      <c r="N118" s="3">
        <v>-80.024000000000001</v>
      </c>
      <c r="O118" s="3">
        <v>361.68</v>
      </c>
    </row>
    <row r="119" spans="1:15" x14ac:dyDescent="0.2">
      <c r="B119" s="1" t="s">
        <v>104</v>
      </c>
      <c r="M119" s="3">
        <v>-430.38900000000001</v>
      </c>
      <c r="N119" s="3">
        <v>-749.36599999999999</v>
      </c>
      <c r="O119" s="3">
        <v>-782.43700000000001</v>
      </c>
    </row>
    <row r="120" spans="1:15" x14ac:dyDescent="0.2">
      <c r="B120" s="1" t="s">
        <v>105</v>
      </c>
      <c r="M120" s="3">
        <v>2058.65</v>
      </c>
      <c r="N120" s="3">
        <v>2766.933</v>
      </c>
      <c r="O120" s="3">
        <v>4578.2759999999998</v>
      </c>
    </row>
    <row r="121" spans="1:15" x14ac:dyDescent="0.2">
      <c r="B121" s="1" t="s">
        <v>106</v>
      </c>
      <c r="M121" s="3">
        <v>-191.142</v>
      </c>
      <c r="N121" s="3">
        <v>-116.134</v>
      </c>
      <c r="O121" s="3">
        <v>-174.14500000000001</v>
      </c>
    </row>
    <row r="122" spans="1:15" s="4" customFormat="1" x14ac:dyDescent="0.2">
      <c r="A122" s="1"/>
      <c r="B122" s="4" t="s">
        <v>107</v>
      </c>
      <c r="M122" s="5">
        <f t="shared" ref="M122:N122" si="52">+SUM(M90:M121)</f>
        <v>1683.5100000000002</v>
      </c>
      <c r="N122" s="5">
        <f t="shared" si="52"/>
        <v>1647.7780000000009</v>
      </c>
      <c r="O122" s="5">
        <f>+SUM(O90:O121)</f>
        <v>-3620.2850000000012</v>
      </c>
    </row>
    <row r="123" spans="1:15" x14ac:dyDescent="0.2">
      <c r="M123" s="3"/>
      <c r="N123" s="3"/>
      <c r="O123" s="3"/>
    </row>
    <row r="124" spans="1:15" x14ac:dyDescent="0.2">
      <c r="B124" s="1" t="s">
        <v>108</v>
      </c>
      <c r="M124" s="3">
        <v>-417.733</v>
      </c>
      <c r="N124" s="3">
        <v>-736.24400000000003</v>
      </c>
      <c r="O124" s="3">
        <v>-764.48199999999997</v>
      </c>
    </row>
    <row r="125" spans="1:15" x14ac:dyDescent="0.2">
      <c r="B125" s="1" t="s">
        <v>109</v>
      </c>
      <c r="M125" s="3">
        <v>-395.512</v>
      </c>
      <c r="N125" s="3">
        <v>-474.053</v>
      </c>
      <c r="O125" s="3">
        <v>-507.27800000000002</v>
      </c>
    </row>
    <row r="126" spans="1:15" x14ac:dyDescent="0.2">
      <c r="B126" s="1" t="s">
        <v>110</v>
      </c>
      <c r="M126" s="3">
        <v>-69.837000000000003</v>
      </c>
      <c r="N126" s="3" t="s">
        <v>87</v>
      </c>
      <c r="O126" s="3">
        <v>-9.0540000000000003</v>
      </c>
    </row>
    <row r="127" spans="1:15" x14ac:dyDescent="0.2">
      <c r="B127" s="1" t="s">
        <v>111</v>
      </c>
      <c r="M127" s="3">
        <v>-4.3250000000000002</v>
      </c>
      <c r="N127" s="3" t="s">
        <v>87</v>
      </c>
      <c r="O127" s="3">
        <v>-4.2039999999999997</v>
      </c>
    </row>
    <row r="128" spans="1:15" x14ac:dyDescent="0.2">
      <c r="B128" s="1" t="s">
        <v>112</v>
      </c>
      <c r="M128" s="3">
        <v>-1222.364</v>
      </c>
      <c r="N128" s="3">
        <v>181.61099999999999</v>
      </c>
      <c r="O128" s="3">
        <v>2994.5970000000002</v>
      </c>
    </row>
    <row r="129" spans="2:15" x14ac:dyDescent="0.2">
      <c r="B129" s="1" t="s">
        <v>113</v>
      </c>
      <c r="M129" s="3">
        <v>-15</v>
      </c>
      <c r="N129" s="3" t="s">
        <v>87</v>
      </c>
      <c r="O129" s="3" t="s">
        <v>87</v>
      </c>
    </row>
    <row r="130" spans="2:15" x14ac:dyDescent="0.2">
      <c r="B130" s="1" t="s">
        <v>114</v>
      </c>
      <c r="M130" s="3">
        <v>183.518</v>
      </c>
      <c r="N130" s="3">
        <v>220.52</v>
      </c>
      <c r="O130" s="3">
        <v>57.54</v>
      </c>
    </row>
    <row r="131" spans="2:15" x14ac:dyDescent="0.2">
      <c r="B131" s="1" t="s">
        <v>115</v>
      </c>
      <c r="M131" s="3">
        <v>27.007999999999999</v>
      </c>
      <c r="N131" s="3">
        <v>0.53600000000000003</v>
      </c>
      <c r="O131" s="3">
        <v>1.746</v>
      </c>
    </row>
    <row r="132" spans="2:15" x14ac:dyDescent="0.2">
      <c r="B132" s="1" t="s">
        <v>116</v>
      </c>
      <c r="M132" s="3">
        <v>-46.896999999999998</v>
      </c>
      <c r="N132" s="3">
        <v>-37.805999999999997</v>
      </c>
      <c r="O132" s="3">
        <v>-181.36500000000001</v>
      </c>
    </row>
    <row r="133" spans="2:15" x14ac:dyDescent="0.2">
      <c r="B133" s="4" t="s">
        <v>117</v>
      </c>
      <c r="C133" s="4"/>
      <c r="D133" s="4"/>
      <c r="E133" s="4"/>
      <c r="F133" s="4"/>
      <c r="G133" s="4"/>
      <c r="H133" s="4"/>
      <c r="I133" s="4"/>
      <c r="J133" s="4"/>
      <c r="K133" s="4"/>
      <c r="L133" s="4"/>
      <c r="M133" s="5">
        <v>-1871.1420000000001</v>
      </c>
      <c r="N133" s="5">
        <v>-845.43600000000004</v>
      </c>
      <c r="O133" s="5">
        <v>1587.49</v>
      </c>
    </row>
    <row r="136" spans="2:15" x14ac:dyDescent="0.2">
      <c r="B136" s="1" t="s">
        <v>118</v>
      </c>
    </row>
    <row r="137" spans="2:15" x14ac:dyDescent="0.2">
      <c r="B137" s="1" t="s">
        <v>119</v>
      </c>
      <c r="M137" s="3">
        <v>0</v>
      </c>
      <c r="N137" s="3">
        <v>1608.162</v>
      </c>
      <c r="O137" s="3">
        <v>6585.9369999999999</v>
      </c>
    </row>
    <row r="138" spans="2:15" x14ac:dyDescent="0.2">
      <c r="B138" s="1" t="s">
        <v>120</v>
      </c>
      <c r="M138" s="3">
        <v>-404.31700000000001</v>
      </c>
      <c r="N138" s="3">
        <v>-5.0039999999999996</v>
      </c>
      <c r="O138" s="3">
        <v>-2713.5740000000001</v>
      </c>
    </row>
    <row r="139" spans="2:15" x14ac:dyDescent="0.2">
      <c r="B139" s="1" t="s">
        <v>121</v>
      </c>
      <c r="M139" s="3">
        <v>3499.9859999999999</v>
      </c>
      <c r="N139" s="3">
        <v>4138.2089999999998</v>
      </c>
      <c r="O139" s="3">
        <v>5997.7209999999995</v>
      </c>
    </row>
    <row r="140" spans="2:15" x14ac:dyDescent="0.2">
      <c r="B140" s="1" t="s">
        <v>122</v>
      </c>
      <c r="M140" s="3">
        <v>-5855.4520000000002</v>
      </c>
      <c r="N140" s="3">
        <v>-5447.18</v>
      </c>
      <c r="O140" s="3">
        <v>-3049.8240000000001</v>
      </c>
    </row>
    <row r="141" spans="2:15" x14ac:dyDescent="0.2">
      <c r="B141" s="1" t="s">
        <v>123</v>
      </c>
      <c r="M141" s="3">
        <v>-99.828999999999994</v>
      </c>
      <c r="N141" s="3">
        <v>-72.814999999999998</v>
      </c>
      <c r="O141" s="3">
        <v>-68.971000000000004</v>
      </c>
    </row>
    <row r="142" spans="2:15" x14ac:dyDescent="0.2">
      <c r="B142" s="1" t="s">
        <v>124</v>
      </c>
      <c r="M142" s="3">
        <v>0</v>
      </c>
      <c r="N142" s="3">
        <v>0</v>
      </c>
      <c r="O142" s="3">
        <v>-112.771</v>
      </c>
    </row>
    <row r="143" spans="2:15" x14ac:dyDescent="0.2">
      <c r="B143" s="1" t="s">
        <v>125</v>
      </c>
      <c r="M143" s="3">
        <v>0</v>
      </c>
      <c r="N143" s="3">
        <v>-292.745</v>
      </c>
      <c r="O143" s="3">
        <v>-1587.3320000000001</v>
      </c>
    </row>
    <row r="144" spans="2:15" x14ac:dyDescent="0.2">
      <c r="B144" s="1" t="s">
        <v>126</v>
      </c>
      <c r="M144" s="3">
        <v>0</v>
      </c>
      <c r="N144" s="3">
        <v>0</v>
      </c>
      <c r="O144" s="3">
        <v>0</v>
      </c>
    </row>
    <row r="145" spans="2:15" x14ac:dyDescent="0.2">
      <c r="B145" s="1" t="s">
        <v>127</v>
      </c>
      <c r="M145" s="3">
        <v>53.405999999999999</v>
      </c>
      <c r="N145" s="3">
        <v>-1.44</v>
      </c>
      <c r="O145" s="3">
        <v>-0.14599999999999999</v>
      </c>
    </row>
    <row r="146" spans="2:15" x14ac:dyDescent="0.2">
      <c r="B146" s="1" t="s">
        <v>128</v>
      </c>
      <c r="M146" s="3">
        <v>-0.32500000000000001</v>
      </c>
      <c r="N146" s="3">
        <v>-5.9829999999999997</v>
      </c>
      <c r="O146" s="3">
        <v>-10.454000000000001</v>
      </c>
    </row>
    <row r="147" spans="2:15" x14ac:dyDescent="0.2">
      <c r="B147" s="4" t="s">
        <v>129</v>
      </c>
      <c r="C147" s="4"/>
      <c r="D147" s="4"/>
      <c r="E147" s="4"/>
      <c r="F147" s="4"/>
      <c r="G147" s="4"/>
      <c r="H147" s="4"/>
      <c r="I147" s="4"/>
      <c r="J147" s="4"/>
      <c r="K147" s="4"/>
      <c r="L147" s="4"/>
      <c r="M147" s="5">
        <v>-3.601</v>
      </c>
      <c r="N147" s="5">
        <v>-148.79599999999999</v>
      </c>
      <c r="O147" s="5">
        <v>5040.5860000000002</v>
      </c>
    </row>
    <row r="148" spans="2:15" x14ac:dyDescent="0.2">
      <c r="B148" s="1" t="s">
        <v>130</v>
      </c>
      <c r="M148" s="3">
        <v>14.548</v>
      </c>
      <c r="N148" s="3">
        <v>10.336</v>
      </c>
      <c r="O148" s="3">
        <v>44.543999999999997</v>
      </c>
    </row>
    <row r="149" spans="2:15" x14ac:dyDescent="0.2">
      <c r="B149" s="1" t="s">
        <v>131</v>
      </c>
      <c r="M149" s="3">
        <v>-2983.0410000000002</v>
      </c>
      <c r="N149" s="3">
        <v>663.81200000000001</v>
      </c>
      <c r="O149" s="3">
        <v>3051.2379999999998</v>
      </c>
    </row>
  </sheetData>
  <hyperlinks>
    <hyperlink ref="A1" location="main!A1" display="main" xr:uid="{C31EE3CD-3454-45F6-8AC4-412BC6D80B36}"/>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2025-03-17T21:49:30Z</dcterms:created>
  <dcterms:modified xsi:type="dcterms:W3CDTF">2025-03-23T18:26:06Z</dcterms:modified>
</cp:coreProperties>
</file>