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650" documentId="8_{0E973291-A293-4A68-9C86-C0AED2CC0DF4}" xr6:coauthVersionLast="47" xr6:coauthVersionMax="47" xr10:uidLastSave="{64BDE3F0-CF82-4680-9B47-8190DA9F55E0}"/>
  <bookViews>
    <workbookView xWindow="-120" yWindow="-120" windowWidth="29040" windowHeight="15720" activeTab="1" xr2:uid="{CE2EF8CB-19A7-4198-8FE9-39A1DDAF01D5}"/>
  </bookViews>
  <sheets>
    <sheet name="main" sheetId="1" r:id="rId1"/>
    <sheet name="mode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5" i="2" l="1"/>
  <c r="L7" i="1"/>
  <c r="L64" i="2"/>
  <c r="L62" i="2"/>
  <c r="U3" i="2"/>
  <c r="T3" i="2"/>
  <c r="S3" i="2"/>
  <c r="R3" i="2"/>
  <c r="S2" i="2"/>
  <c r="T2" i="2" s="1"/>
  <c r="U2" i="2" s="1"/>
  <c r="V2" i="2" s="1"/>
  <c r="W2" i="2" s="1"/>
  <c r="X2" i="2" s="1"/>
  <c r="R2" i="2"/>
  <c r="L53" i="2"/>
  <c r="L52" i="2"/>
  <c r="L43" i="2"/>
  <c r="L42" i="2"/>
  <c r="L41" i="2"/>
  <c r="L40" i="2"/>
  <c r="L39" i="2"/>
  <c r="L33" i="2"/>
  <c r="L32" i="2"/>
  <c r="H11" i="2"/>
  <c r="L11" i="2"/>
  <c r="L13" i="2" s="1"/>
  <c r="L21" i="2" s="1"/>
  <c r="L26" i="2" s="1"/>
  <c r="L28" i="2" s="1"/>
  <c r="L30" i="2" s="1"/>
  <c r="L3" i="1" a="1"/>
  <c r="L3" i="1" s="1"/>
  <c r="Q43" i="2"/>
  <c r="Q42" i="2"/>
  <c r="Q41" i="2"/>
  <c r="Q40" i="2"/>
  <c r="P43" i="2"/>
  <c r="O43" i="2"/>
  <c r="P42" i="2"/>
  <c r="O42" i="2"/>
  <c r="P41" i="2"/>
  <c r="O41" i="2"/>
  <c r="P40" i="2"/>
  <c r="O40" i="2"/>
  <c r="G42" i="2"/>
  <c r="K43" i="2"/>
  <c r="J43" i="2"/>
  <c r="I43" i="2"/>
  <c r="H43" i="2"/>
  <c r="G43" i="2"/>
  <c r="F43" i="2"/>
  <c r="K42" i="2"/>
  <c r="J42" i="2"/>
  <c r="I42" i="2"/>
  <c r="H42" i="2"/>
  <c r="F42" i="2"/>
  <c r="K41" i="2"/>
  <c r="J41" i="2"/>
  <c r="I41" i="2"/>
  <c r="H41" i="2"/>
  <c r="G41" i="2"/>
  <c r="F41" i="2"/>
  <c r="K40" i="2"/>
  <c r="J40" i="2"/>
  <c r="I40" i="2"/>
  <c r="H40" i="2"/>
  <c r="G40" i="2"/>
  <c r="F40" i="2"/>
  <c r="S52" i="2"/>
  <c r="T52" i="2" s="1"/>
  <c r="U52" i="2" s="1"/>
  <c r="V52" i="2" s="1"/>
  <c r="W52" i="2" s="1"/>
  <c r="X52" i="2" s="1"/>
  <c r="R52" i="2"/>
  <c r="Q64" i="2"/>
  <c r="L47" i="2" l="1"/>
  <c r="L45" i="2"/>
  <c r="L46" i="2"/>
  <c r="R33" i="2"/>
  <c r="S32" i="2"/>
  <c r="R32" i="2"/>
  <c r="R11" i="2"/>
  <c r="R15" i="2" s="1"/>
  <c r="P38" i="2"/>
  <c r="O38" i="2"/>
  <c r="P37" i="2"/>
  <c r="O37" i="2"/>
  <c r="P36" i="2"/>
  <c r="O36" i="2"/>
  <c r="P35" i="2"/>
  <c r="O35" i="2"/>
  <c r="P34" i="2"/>
  <c r="O34" i="2"/>
  <c r="P33" i="2"/>
  <c r="O33" i="2"/>
  <c r="P32" i="2"/>
  <c r="O32" i="2"/>
  <c r="Q38" i="2"/>
  <c r="Q37" i="2"/>
  <c r="Q36" i="2"/>
  <c r="Q35" i="2"/>
  <c r="Q34" i="2"/>
  <c r="Q33" i="2"/>
  <c r="Q32" i="2"/>
  <c r="K64" i="2"/>
  <c r="K62" i="2"/>
  <c r="R17" i="2"/>
  <c r="R29" i="2"/>
  <c r="S29" i="2" s="1"/>
  <c r="T29" i="2" s="1"/>
  <c r="U29" i="2" s="1"/>
  <c r="V29" i="2" s="1"/>
  <c r="W29" i="2" s="1"/>
  <c r="X29" i="2" s="1"/>
  <c r="R25" i="2"/>
  <c r="S25" i="2" s="1"/>
  <c r="T25" i="2" s="1"/>
  <c r="U25" i="2" s="1"/>
  <c r="V25" i="2" s="1"/>
  <c r="W25" i="2" s="1"/>
  <c r="X25" i="2" s="1"/>
  <c r="R23" i="2"/>
  <c r="S23" i="2" s="1"/>
  <c r="T23" i="2" s="1"/>
  <c r="U23" i="2" s="1"/>
  <c r="V23" i="2" s="1"/>
  <c r="W23" i="2" s="1"/>
  <c r="X23" i="2" s="1"/>
  <c r="R18" i="2"/>
  <c r="S18" i="2" s="1"/>
  <c r="T18" i="2" s="1"/>
  <c r="U18" i="2" s="1"/>
  <c r="V18" i="2" s="1"/>
  <c r="W18" i="2" s="1"/>
  <c r="X18" i="2" s="1"/>
  <c r="R16" i="2"/>
  <c r="P39" i="2"/>
  <c r="O39" i="2"/>
  <c r="N25" i="2"/>
  <c r="O25" i="2"/>
  <c r="E55" i="2"/>
  <c r="G39" i="2"/>
  <c r="F39" i="2"/>
  <c r="B25" i="2"/>
  <c r="C25" i="2"/>
  <c r="H39" i="2"/>
  <c r="Q52" i="2"/>
  <c r="P52" i="2"/>
  <c r="O52" i="2"/>
  <c r="N52" i="2"/>
  <c r="Q39" i="2"/>
  <c r="Q57" i="2"/>
  <c r="P57" i="2"/>
  <c r="O1" i="2"/>
  <c r="P1" i="2" s="1"/>
  <c r="Q1" i="2" s="1"/>
  <c r="R1" i="2" s="1"/>
  <c r="S1" i="2" s="1"/>
  <c r="T1" i="2" s="1"/>
  <c r="U1" i="2" s="1"/>
  <c r="V1" i="2" s="1"/>
  <c r="W1" i="2" s="1"/>
  <c r="X1" i="2" s="1"/>
  <c r="Q13" i="2"/>
  <c r="Q21" i="2" s="1"/>
  <c r="Q26" i="2" s="1"/>
  <c r="Q28" i="2" s="1"/>
  <c r="Q30" i="2" s="1"/>
  <c r="P13" i="2"/>
  <c r="P21" i="2" s="1"/>
  <c r="P26" i="2" s="1"/>
  <c r="P28" i="2" s="1"/>
  <c r="P30" i="2" s="1"/>
  <c r="O13" i="2"/>
  <c r="O21" i="2" s="1"/>
  <c r="O46" i="2" s="1"/>
  <c r="N13" i="2"/>
  <c r="N21" i="2" s="1"/>
  <c r="I39" i="2"/>
  <c r="K39" i="2"/>
  <c r="K52" i="2"/>
  <c r="I52" i="2"/>
  <c r="H52" i="2"/>
  <c r="G52" i="2"/>
  <c r="F52" i="2"/>
  <c r="E52" i="2"/>
  <c r="D52" i="2"/>
  <c r="C52" i="2"/>
  <c r="B52" i="2"/>
  <c r="J57" i="2"/>
  <c r="J52" i="2"/>
  <c r="J39" i="2"/>
  <c r="E13" i="2"/>
  <c r="E21" i="2" s="1"/>
  <c r="E26" i="2" s="1"/>
  <c r="E28" i="2" s="1"/>
  <c r="E30" i="2" s="1"/>
  <c r="D13" i="2"/>
  <c r="D21" i="2" s="1"/>
  <c r="D26" i="2" s="1"/>
  <c r="D28" i="2" s="1"/>
  <c r="D30" i="2" s="1"/>
  <c r="C13" i="2"/>
  <c r="C21" i="2" s="1"/>
  <c r="B13" i="2"/>
  <c r="B21" i="2" s="1"/>
  <c r="B46" i="2" s="1"/>
  <c r="K13" i="2"/>
  <c r="K21" i="2" s="1"/>
  <c r="K26" i="2" s="1"/>
  <c r="K28" i="2" s="1"/>
  <c r="K30" i="2" s="1"/>
  <c r="J13" i="2"/>
  <c r="J21" i="2" s="1"/>
  <c r="J26" i="2" s="1"/>
  <c r="J28" i="2" s="1"/>
  <c r="J30" i="2" s="1"/>
  <c r="I13" i="2"/>
  <c r="I21" i="2" s="1"/>
  <c r="I26" i="2" s="1"/>
  <c r="I28" i="2" s="1"/>
  <c r="I30" i="2" s="1"/>
  <c r="H13" i="2"/>
  <c r="H21" i="2" s="1"/>
  <c r="H26" i="2" s="1"/>
  <c r="H28" i="2" s="1"/>
  <c r="H30" i="2" s="1"/>
  <c r="G13" i="2"/>
  <c r="G21" i="2" s="1"/>
  <c r="G26" i="2" s="1"/>
  <c r="G28" i="2" s="1"/>
  <c r="G30" i="2" s="1"/>
  <c r="F13" i="2"/>
  <c r="F45" i="2" s="1"/>
  <c r="L6" i="1"/>
  <c r="L5" i="1"/>
  <c r="L8" i="1" s="1"/>
  <c r="L11" i="1" s="1"/>
  <c r="R12" i="2" l="1"/>
  <c r="R43" i="2"/>
  <c r="R42" i="2"/>
  <c r="R41" i="2"/>
  <c r="X32" i="2"/>
  <c r="U32" i="2"/>
  <c r="T32" i="2"/>
  <c r="V32" i="2"/>
  <c r="W32" i="2"/>
  <c r="S17" i="2"/>
  <c r="T17" i="2" s="1"/>
  <c r="U17" i="2" s="1"/>
  <c r="V17" i="2" s="1"/>
  <c r="W17" i="2" s="1"/>
  <c r="X17" i="2" s="1"/>
  <c r="C26" i="2"/>
  <c r="C28" i="2" s="1"/>
  <c r="C30" i="2" s="1"/>
  <c r="N26" i="2"/>
  <c r="N28" i="2" s="1"/>
  <c r="N30" i="2" s="1"/>
  <c r="C46" i="2"/>
  <c r="G53" i="2"/>
  <c r="I53" i="2"/>
  <c r="J53" i="2"/>
  <c r="H53" i="2"/>
  <c r="K53" i="2"/>
  <c r="F53" i="2"/>
  <c r="Q46" i="2"/>
  <c r="C45" i="2"/>
  <c r="N46" i="2"/>
  <c r="R14" i="2"/>
  <c r="R40" i="2" s="1"/>
  <c r="P59" i="2"/>
  <c r="S16" i="2"/>
  <c r="R39" i="2"/>
  <c r="B45" i="2"/>
  <c r="Q59" i="2"/>
  <c r="N45" i="2"/>
  <c r="Q45" i="2"/>
  <c r="O45" i="2"/>
  <c r="R13" i="2"/>
  <c r="O26" i="2"/>
  <c r="B26" i="2"/>
  <c r="B28" i="2" s="1"/>
  <c r="P46" i="2"/>
  <c r="I45" i="2"/>
  <c r="H45" i="2"/>
  <c r="I46" i="2"/>
  <c r="P47" i="2"/>
  <c r="H46" i="2"/>
  <c r="I47" i="2"/>
  <c r="Q47" i="2"/>
  <c r="H47" i="2"/>
  <c r="E45" i="2"/>
  <c r="D45" i="2"/>
  <c r="E46" i="2"/>
  <c r="D46" i="2"/>
  <c r="E47" i="2"/>
  <c r="P45" i="2"/>
  <c r="D47" i="2"/>
  <c r="J47" i="2"/>
  <c r="K45" i="2"/>
  <c r="F21" i="2"/>
  <c r="K46" i="2"/>
  <c r="J45" i="2"/>
  <c r="K47" i="2"/>
  <c r="G45" i="2"/>
  <c r="J46" i="2"/>
  <c r="G46" i="2"/>
  <c r="G47" i="2"/>
  <c r="S33" i="2" l="1"/>
  <c r="S11" i="2"/>
  <c r="S15" i="2" s="1"/>
  <c r="C47" i="2"/>
  <c r="N47" i="2"/>
  <c r="R21" i="2"/>
  <c r="N59" i="2"/>
  <c r="B30" i="2"/>
  <c r="B47" i="2"/>
  <c r="O28" i="2"/>
  <c r="O59" i="2"/>
  <c r="T16" i="2"/>
  <c r="S12" i="2"/>
  <c r="S13" i="2" s="1"/>
  <c r="S39" i="2"/>
  <c r="S14" i="2"/>
  <c r="S40" i="2" s="1"/>
  <c r="R45" i="2"/>
  <c r="F26" i="2"/>
  <c r="F28" i="2" s="1"/>
  <c r="F46" i="2"/>
  <c r="S43" i="2" l="1"/>
  <c r="S42" i="2"/>
  <c r="S41" i="2"/>
  <c r="T33" i="2"/>
  <c r="T11" i="2"/>
  <c r="T15" i="2" s="1"/>
  <c r="S21" i="2"/>
  <c r="S26" i="2" s="1"/>
  <c r="S27" i="2" s="1"/>
  <c r="S28" i="2" s="1"/>
  <c r="S47" i="2" s="1"/>
  <c r="U16" i="2"/>
  <c r="S45" i="2"/>
  <c r="O30" i="2"/>
  <c r="O47" i="2"/>
  <c r="R26" i="2"/>
  <c r="R46" i="2"/>
  <c r="F47" i="2"/>
  <c r="F30" i="2"/>
  <c r="T39" i="2" l="1"/>
  <c r="T43" i="2"/>
  <c r="T42" i="2"/>
  <c r="T41" i="2"/>
  <c r="T14" i="2"/>
  <c r="T40" i="2" s="1"/>
  <c r="T12" i="2"/>
  <c r="T13" i="2" s="1"/>
  <c r="T45" i="2" s="1"/>
  <c r="V3" i="2"/>
  <c r="U33" i="2"/>
  <c r="U11" i="2"/>
  <c r="U15" i="2" s="1"/>
  <c r="S30" i="2"/>
  <c r="S46" i="2"/>
  <c r="V16" i="2"/>
  <c r="R27" i="2"/>
  <c r="R28" i="2" s="1"/>
  <c r="T21" i="2" l="1"/>
  <c r="T26" i="2" s="1"/>
  <c r="T27" i="2" s="1"/>
  <c r="T28" i="2" s="1"/>
  <c r="U39" i="2"/>
  <c r="U43" i="2"/>
  <c r="U42" i="2"/>
  <c r="U41" i="2"/>
  <c r="U12" i="2"/>
  <c r="U13" i="2" s="1"/>
  <c r="U14" i="2"/>
  <c r="U40" i="2" s="1"/>
  <c r="W3" i="2"/>
  <c r="V33" i="2"/>
  <c r="V11" i="2"/>
  <c r="V15" i="2" s="1"/>
  <c r="W16" i="2"/>
  <c r="U45" i="2"/>
  <c r="U21" i="2"/>
  <c r="R30" i="2"/>
  <c r="R47" i="2"/>
  <c r="T46" i="2" l="1"/>
  <c r="V39" i="2"/>
  <c r="V43" i="2"/>
  <c r="V42" i="2"/>
  <c r="V41" i="2"/>
  <c r="V14" i="2"/>
  <c r="V40" i="2" s="1"/>
  <c r="V12" i="2"/>
  <c r="V13" i="2" s="1"/>
  <c r="V45" i="2" s="1"/>
  <c r="X3" i="2"/>
  <c r="W33" i="2"/>
  <c r="W11" i="2"/>
  <c r="W15" i="2" s="1"/>
  <c r="U46" i="2"/>
  <c r="U26" i="2"/>
  <c r="U27" i="2" s="1"/>
  <c r="U28" i="2" s="1"/>
  <c r="U47" i="2" s="1"/>
  <c r="X16" i="2"/>
  <c r="T47" i="2"/>
  <c r="T30" i="2"/>
  <c r="W43" i="2" l="1"/>
  <c r="W42" i="2"/>
  <c r="W41" i="2"/>
  <c r="W14" i="2"/>
  <c r="W40" i="2" s="1"/>
  <c r="W12" i="2"/>
  <c r="W13" i="2" s="1"/>
  <c r="W21" i="2" s="1"/>
  <c r="W39" i="2"/>
  <c r="V21" i="2"/>
  <c r="V26" i="2" s="1"/>
  <c r="V27" i="2" s="1"/>
  <c r="V28" i="2" s="1"/>
  <c r="V30" i="2" s="1"/>
  <c r="X33" i="2"/>
  <c r="X11" i="2"/>
  <c r="X15" i="2" s="1"/>
  <c r="U30" i="2"/>
  <c r="W45" i="2" l="1"/>
  <c r="X12" i="2"/>
  <c r="X13" i="2" s="1"/>
  <c r="X45" i="2" s="1"/>
  <c r="X42" i="2"/>
  <c r="X41" i="2"/>
  <c r="X43" i="2"/>
  <c r="V46" i="2"/>
  <c r="X39" i="2"/>
  <c r="X14" i="2"/>
  <c r="X40" i="2" s="1"/>
  <c r="V47" i="2"/>
  <c r="W26" i="2"/>
  <c r="W27" i="2" s="1"/>
  <c r="W28" i="2" s="1"/>
  <c r="W47" i="2" s="1"/>
  <c r="W46" i="2"/>
  <c r="X21" i="2" l="1"/>
  <c r="X46" i="2" s="1"/>
  <c r="W30" i="2"/>
  <c r="X26" i="2" l="1"/>
  <c r="X27" i="2" s="1"/>
  <c r="X28" i="2" s="1"/>
  <c r="Y28" i="2" s="1"/>
  <c r="X30" i="2" l="1"/>
  <c r="Z30" i="2" s="1"/>
  <c r="X47" i="2"/>
  <c r="Z28" i="2"/>
  <c r="AA28" i="2" s="1"/>
  <c r="AB28" i="2" s="1"/>
  <c r="AC28" i="2" s="1"/>
  <c r="AD28" i="2" s="1"/>
  <c r="AE28" i="2" s="1"/>
  <c r="AF28" i="2" s="1"/>
  <c r="AG28" i="2" s="1"/>
  <c r="AH28" i="2" s="1"/>
  <c r="AI28" i="2" s="1"/>
  <c r="AJ28" i="2" s="1"/>
  <c r="AK28" i="2" s="1"/>
  <c r="AL28" i="2" s="1"/>
  <c r="AM28" i="2" s="1"/>
  <c r="AN28" i="2" s="1"/>
  <c r="AO28" i="2" s="1"/>
  <c r="AP28" i="2" s="1"/>
  <c r="AQ28" i="2" s="1"/>
  <c r="AR28" i="2" s="1"/>
  <c r="AS28" i="2" s="1"/>
  <c r="AT28" i="2" s="1"/>
  <c r="AU28" i="2" s="1"/>
  <c r="AV28" i="2" s="1"/>
  <c r="AW28" i="2" s="1"/>
  <c r="AX28" i="2" s="1"/>
  <c r="AY28" i="2" s="1"/>
  <c r="AZ28" i="2" s="1"/>
  <c r="BA28" i="2" s="1"/>
  <c r="BB28" i="2" s="1"/>
  <c r="BC28" i="2" s="1"/>
  <c r="BD28" i="2" s="1"/>
  <c r="AA14" i="2" l="1"/>
  <c r="AA16" i="2" s="1"/>
  <c r="AA1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<sst xmlns="http://schemas.openxmlformats.org/spreadsheetml/2006/main" count="81" uniqueCount="72">
  <si>
    <t>Ticket</t>
  </si>
  <si>
    <t>Price</t>
  </si>
  <si>
    <t>S/O</t>
  </si>
  <si>
    <t>MC</t>
  </si>
  <si>
    <t>Cash</t>
  </si>
  <si>
    <t>Debt</t>
  </si>
  <si>
    <t>EV</t>
  </si>
  <si>
    <t>TTM FCF/EV</t>
  </si>
  <si>
    <t>Q1 2022</t>
  </si>
  <si>
    <t>Q2 2022</t>
  </si>
  <si>
    <t>Q3 2022</t>
  </si>
  <si>
    <t>Q4 2022</t>
  </si>
  <si>
    <t>Q1 2023</t>
  </si>
  <si>
    <t>Q2 2023</t>
  </si>
  <si>
    <t>Q3 2023</t>
  </si>
  <si>
    <t>Q4 2023</t>
  </si>
  <si>
    <t>Q1 2024</t>
  </si>
  <si>
    <t>Q2 2024</t>
  </si>
  <si>
    <t>Q3 2024</t>
  </si>
  <si>
    <t xml:space="preserve">SMB </t>
  </si>
  <si>
    <t>Enterprise</t>
  </si>
  <si>
    <t>US</t>
  </si>
  <si>
    <t>Germany</t>
  </si>
  <si>
    <t>GB</t>
  </si>
  <si>
    <t xml:space="preserve">France </t>
  </si>
  <si>
    <t>Other</t>
  </si>
  <si>
    <t>Revenue</t>
  </si>
  <si>
    <t>Discount</t>
  </si>
  <si>
    <t>COGS</t>
  </si>
  <si>
    <t>Maturity</t>
  </si>
  <si>
    <t>Gross Profit</t>
  </si>
  <si>
    <t>ROIC</t>
  </si>
  <si>
    <t>R&amp;D</t>
  </si>
  <si>
    <t>NPV</t>
  </si>
  <si>
    <t>Marketing</t>
  </si>
  <si>
    <t>Net Cash</t>
  </si>
  <si>
    <t>Sales</t>
  </si>
  <si>
    <t>Mkt value</t>
  </si>
  <si>
    <t>G&amp;A</t>
  </si>
  <si>
    <t>Bad Debt</t>
  </si>
  <si>
    <t>Other Income</t>
  </si>
  <si>
    <t>Other expenses</t>
  </si>
  <si>
    <t>Operating Profit</t>
  </si>
  <si>
    <t>Finance income</t>
  </si>
  <si>
    <t>Finance costs</t>
  </si>
  <si>
    <t>Profit from associates</t>
  </si>
  <si>
    <t>FX</t>
  </si>
  <si>
    <t>Pretax Income</t>
  </si>
  <si>
    <t>Taxes</t>
  </si>
  <si>
    <t>Net Income</t>
  </si>
  <si>
    <t>Shares</t>
  </si>
  <si>
    <t>EPS</t>
  </si>
  <si>
    <t>Revenue y/y</t>
  </si>
  <si>
    <t>R&amp;D %</t>
  </si>
  <si>
    <t>Marketing %</t>
  </si>
  <si>
    <t>Sales %</t>
  </si>
  <si>
    <t>G&amp;A %</t>
  </si>
  <si>
    <t>Gross Margin</t>
  </si>
  <si>
    <t>Operating Margin</t>
  </si>
  <si>
    <t>Net Margin</t>
  </si>
  <si>
    <t>CFFO</t>
  </si>
  <si>
    <t>CAPEX</t>
  </si>
  <si>
    <t>SBC</t>
  </si>
  <si>
    <t>FCF</t>
  </si>
  <si>
    <t>TTM FCF</t>
  </si>
  <si>
    <t>Buybacks</t>
  </si>
  <si>
    <t>Tax Rate</t>
  </si>
  <si>
    <t>ARR</t>
  </si>
  <si>
    <t>Subscribers</t>
  </si>
  <si>
    <t>NRR</t>
  </si>
  <si>
    <t>Employees</t>
  </si>
  <si>
    <t>Aquired 1E for 686M 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</si>
</sst>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quot;€&quot;;[Red]\-#,##0\ &quot;€&quot;"/>
    <numFmt numFmtId="165" formatCode="#,##0.00\ &quot;€&quot;;[Red]\-#,##0.00\ &quot;€&quot;"/>
    <numFmt numFmtId="166" formatCode="_-* #,##0.00\ [$€-816]_-;\-* #,##0.00\ [$€-816]_-;_-* &quot;-&quot;??\ [$€-816]_-;_-@_-"/>
    <numFmt numFmtId="167" formatCode="0.0%"/>
    <numFmt numFmtId="168" formatCode="0.00\x"/>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xf numFmtId="3" fontId="1" fillId="0" borderId="0" xfId="0" applyNumberFormat="1" applyFont="1"/>
    <xf numFmtId="166" fontId="1" fillId="0" borderId="0" xfId="0" applyNumberFormat="1" applyFont="1"/>
    <xf numFmtId="0" fontId="2" fillId="0" borderId="0" xfId="0" applyFont="1"/>
    <xf numFmtId="9" fontId="1" fillId="0" borderId="0" xfId="0" applyNumberFormat="1" applyFont="1"/>
    <xf numFmtId="167" fontId="1" fillId="0" borderId="0" xfId="0" applyNumberFormat="1" applyFont="1"/>
    <xf numFmtId="3" fontId="2" fillId="0" borderId="0" xfId="0" applyNumberFormat="1" applyFont="1"/>
    <xf numFmtId="168" fontId="1" fillId="0" borderId="0" xfId="0" applyNumberFormat="1" applyFont="1"/>
    <xf numFmtId="0" fontId="1" fillId="0" borderId="1" xfId="0" applyFont="1" applyBorder="1"/>
    <xf numFmtId="10" fontId="1" fillId="0" borderId="2" xfId="0" applyNumberFormat="1" applyFont="1" applyBorder="1"/>
    <xf numFmtId="0" fontId="1" fillId="0" borderId="3" xfId="0" applyFont="1" applyBorder="1"/>
    <xf numFmtId="9" fontId="1" fillId="0" borderId="4" xfId="0" applyNumberFormat="1" applyFont="1" applyBorder="1"/>
    <xf numFmtId="3" fontId="1" fillId="0" borderId="4" xfId="0" applyNumberFormat="1" applyFont="1" applyBorder="1"/>
    <xf numFmtId="0" fontId="1" fillId="0" borderId="5" xfId="0" applyFont="1" applyBorder="1"/>
    <xf numFmtId="166" fontId="1" fillId="0" borderId="6" xfId="0" applyNumberFormat="1" applyFont="1" applyBorder="1"/>
    <xf numFmtId="10" fontId="1" fillId="0" borderId="0" xfId="0" applyNumberFormat="1" applyFont="1"/>
    <xf numFmtId="164" fontId="1" fillId="0" borderId="4" xfId="0" applyNumberFormat="1" applyFont="1" applyBorder="1"/>
    <xf numFmtId="165" fontId="1" fillId="0" borderId="0" xfId="0" applyNumberFormat="1" applyFont="1"/>
    <xf numFmtId="167" fontId="2" fillId="0" borderId="0" xfId="0" applyNumberFormat="1"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Revenue</c:v>
          </c:tx>
          <c:spPr>
            <a:solidFill>
              <a:schemeClr val="accent1"/>
            </a:solidFill>
            <a:ln>
              <a:noFill/>
            </a:ln>
            <a:effectLst/>
          </c:spPr>
          <c:invertIfNegative val="0"/>
          <c:cat>
            <c:numRef>
              <c:f>model!$N$1:$Q$1</c:f>
              <c:numCache>
                <c:formatCode>General</c:formatCode>
                <c:ptCount val="4"/>
                <c:pt idx="0">
                  <c:v>2020</c:v>
                </c:pt>
                <c:pt idx="1">
                  <c:v>2021</c:v>
                </c:pt>
                <c:pt idx="2">
                  <c:v>2022</c:v>
                </c:pt>
                <c:pt idx="3">
                  <c:v>2023</c:v>
                </c:pt>
              </c:numCache>
            </c:numRef>
          </c:cat>
          <c:val>
            <c:numRef>
              <c:f>model!$N$11:$Q$11</c:f>
              <c:numCache>
                <c:formatCode>#,##0</c:formatCode>
                <c:ptCount val="4"/>
                <c:pt idx="0">
                  <c:v>455.61399999999998</c:v>
                </c:pt>
                <c:pt idx="1">
                  <c:v>501.09699999999998</c:v>
                </c:pt>
                <c:pt idx="2">
                  <c:v>565.87400000000002</c:v>
                </c:pt>
                <c:pt idx="3">
                  <c:v>626.68899999999996</c:v>
                </c:pt>
              </c:numCache>
            </c:numRef>
          </c:val>
          <c:extLst>
            <c:ext xmlns:c16="http://schemas.microsoft.com/office/drawing/2014/chart" uri="{C3380CC4-5D6E-409C-BE32-E72D297353CC}">
              <c16:uniqueId val="{00000000-8932-4907-AF3E-BAFF7417B327}"/>
            </c:ext>
          </c:extLst>
        </c:ser>
        <c:ser>
          <c:idx val="1"/>
          <c:order val="1"/>
          <c:tx>
            <c:v>Net Income</c:v>
          </c:tx>
          <c:spPr>
            <a:solidFill>
              <a:schemeClr val="accent2"/>
            </a:solidFill>
            <a:ln>
              <a:noFill/>
            </a:ln>
            <a:effectLst/>
          </c:spPr>
          <c:invertIfNegative val="0"/>
          <c:cat>
            <c:numRef>
              <c:f>model!$N$1:$Q$1</c:f>
              <c:numCache>
                <c:formatCode>General</c:formatCode>
                <c:ptCount val="4"/>
                <c:pt idx="0">
                  <c:v>2020</c:v>
                </c:pt>
                <c:pt idx="1">
                  <c:v>2021</c:v>
                </c:pt>
                <c:pt idx="2">
                  <c:v>2022</c:v>
                </c:pt>
                <c:pt idx="3">
                  <c:v>2023</c:v>
                </c:pt>
              </c:numCache>
            </c:numRef>
          </c:cat>
          <c:val>
            <c:numRef>
              <c:f>model!$N$28:$Q$28</c:f>
              <c:numCache>
                <c:formatCode>#,##0</c:formatCode>
                <c:ptCount val="4"/>
                <c:pt idx="0">
                  <c:v>103.02799999999996</c:v>
                </c:pt>
                <c:pt idx="1">
                  <c:v>50.051999999999964</c:v>
                </c:pt>
                <c:pt idx="2">
                  <c:v>67.59899999999999</c:v>
                </c:pt>
                <c:pt idx="3">
                  <c:v>114.01499999999987</c:v>
                </c:pt>
              </c:numCache>
            </c:numRef>
          </c:val>
          <c:extLst>
            <c:ext xmlns:c16="http://schemas.microsoft.com/office/drawing/2014/chart" uri="{C3380CC4-5D6E-409C-BE32-E72D297353CC}">
              <c16:uniqueId val="{00000001-8932-4907-AF3E-BAFF7417B327}"/>
            </c:ext>
          </c:extLst>
        </c:ser>
        <c:dLbls>
          <c:showLegendKey val="0"/>
          <c:showVal val="0"/>
          <c:showCatName val="0"/>
          <c:showSerName val="0"/>
          <c:showPercent val="0"/>
          <c:showBubbleSize val="0"/>
        </c:dLbls>
        <c:gapWidth val="219"/>
        <c:overlap val="-27"/>
        <c:axId val="1293333599"/>
        <c:axId val="1293345119"/>
      </c:barChart>
      <c:catAx>
        <c:axId val="129333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45119"/>
        <c:crosses val="autoZero"/>
        <c:auto val="1"/>
        <c:lblAlgn val="ctr"/>
        <c:lblOffset val="100"/>
        <c:noMultiLvlLbl val="0"/>
      </c:catAx>
      <c:valAx>
        <c:axId val="12933451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333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Shares Outstanding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model!$B$1:$L$1</c:f>
              <c:strCache>
                <c:ptCount val="11"/>
                <c:pt idx="0">
                  <c:v>Q1 2022</c:v>
                </c:pt>
                <c:pt idx="1">
                  <c:v>Q2 2022</c:v>
                </c:pt>
                <c:pt idx="2">
                  <c:v>Q3 2022</c:v>
                </c:pt>
                <c:pt idx="3">
                  <c:v>Q4 2022</c:v>
                </c:pt>
                <c:pt idx="4">
                  <c:v>Q1 2023</c:v>
                </c:pt>
                <c:pt idx="5">
                  <c:v>Q2 2023</c:v>
                </c:pt>
                <c:pt idx="6">
                  <c:v>Q3 2023</c:v>
                </c:pt>
                <c:pt idx="7">
                  <c:v>Q4 2023</c:v>
                </c:pt>
                <c:pt idx="8">
                  <c:v>Q1 2024</c:v>
                </c:pt>
                <c:pt idx="9">
                  <c:v>Q2 2024</c:v>
                </c:pt>
                <c:pt idx="10">
                  <c:v>Q3 2024</c:v>
                </c:pt>
              </c:strCache>
            </c:strRef>
          </c:cat>
          <c:val>
            <c:numRef>
              <c:f>model!$B$29:$L$29</c:f>
              <c:numCache>
                <c:formatCode>#,##0</c:formatCode>
                <c:ptCount val="11"/>
                <c:pt idx="0">
                  <c:v>196.19300000000001</c:v>
                </c:pt>
                <c:pt idx="1">
                  <c:v>186.38</c:v>
                </c:pt>
                <c:pt idx="2">
                  <c:v>180.22800000000001</c:v>
                </c:pt>
                <c:pt idx="3">
                  <c:v>176.73500000000001</c:v>
                </c:pt>
                <c:pt idx="4">
                  <c:v>177.08500000000001</c:v>
                </c:pt>
                <c:pt idx="5">
                  <c:v>174.376</c:v>
                </c:pt>
                <c:pt idx="6">
                  <c:v>171.85499999999999</c:v>
                </c:pt>
                <c:pt idx="7">
                  <c:v>169.125</c:v>
                </c:pt>
                <c:pt idx="8">
                  <c:v>165.45500000000001</c:v>
                </c:pt>
                <c:pt idx="9">
                  <c:v>162.25299999999999</c:v>
                </c:pt>
                <c:pt idx="10">
                  <c:v>159.73699999999999</c:v>
                </c:pt>
              </c:numCache>
            </c:numRef>
          </c:val>
          <c:extLst>
            <c:ext xmlns:c16="http://schemas.microsoft.com/office/drawing/2014/chart" uri="{C3380CC4-5D6E-409C-BE32-E72D297353CC}">
              <c16:uniqueId val="{00000000-A821-46B8-891C-0F49FF1C0563}"/>
            </c:ext>
          </c:extLst>
        </c:ser>
        <c:dLbls>
          <c:showLegendKey val="0"/>
          <c:showVal val="0"/>
          <c:showCatName val="0"/>
          <c:showSerName val="0"/>
          <c:showPercent val="0"/>
          <c:showBubbleSize val="0"/>
        </c:dLbls>
        <c:gapWidth val="219"/>
        <c:overlap val="-27"/>
        <c:axId val="1294964895"/>
        <c:axId val="1294965855"/>
      </c:barChart>
      <c:catAx>
        <c:axId val="129496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965855"/>
        <c:crosses val="autoZero"/>
        <c:auto val="1"/>
        <c:lblAlgn val="ctr"/>
        <c:lblOffset val="100"/>
        <c:noMultiLvlLbl val="0"/>
      </c:catAx>
      <c:valAx>
        <c:axId val="1294965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964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38100</xdr:rowOff>
    </xdr:from>
    <xdr:to>
      <xdr:col>7</xdr:col>
      <xdr:colOff>409575</xdr:colOff>
      <xdr:row>18</xdr:row>
      <xdr:rowOff>28575</xdr:rowOff>
    </xdr:to>
    <xdr:graphicFrame macro="">
      <xdr:nvGraphicFramePr>
        <xdr:cNvPr id="2" name="Chart 1">
          <a:extLst>
            <a:ext uri="{FF2B5EF4-FFF2-40B4-BE49-F238E27FC236}">
              <a16:creationId xmlns:a16="http://schemas.microsoft.com/office/drawing/2014/main" id="{5E958B92-C375-4091-90D4-C5DBBDBC9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0</xdr:rowOff>
    </xdr:from>
    <xdr:to>
      <xdr:col>7</xdr:col>
      <xdr:colOff>304800</xdr:colOff>
      <xdr:row>35</xdr:row>
      <xdr:rowOff>152400</xdr:rowOff>
    </xdr:to>
    <xdr:graphicFrame macro="">
      <xdr:nvGraphicFramePr>
        <xdr:cNvPr id="3" name="Chart 2">
          <a:extLst>
            <a:ext uri="{FF2B5EF4-FFF2-40B4-BE49-F238E27FC236}">
              <a16:creationId xmlns:a16="http://schemas.microsoft.com/office/drawing/2014/main" id="{D4FDA5FC-6249-43A8-A5A1-E094607AE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9525</xdr:colOff>
      <xdr:row>0</xdr:row>
      <xdr:rowOff>0</xdr:rowOff>
    </xdr:from>
    <xdr:to>
      <xdr:col>17</xdr:col>
      <xdr:colOff>9525</xdr:colOff>
      <xdr:row>61</xdr:row>
      <xdr:rowOff>38100</xdr:rowOff>
    </xdr:to>
    <xdr:cxnSp macro="">
      <xdr:nvCxnSpPr>
        <xdr:cNvPr id="3" name="Straight Connector 2">
          <a:extLst>
            <a:ext uri="{FF2B5EF4-FFF2-40B4-BE49-F238E27FC236}">
              <a16:creationId xmlns:a16="http://schemas.microsoft.com/office/drawing/2014/main" id="{9967AD96-C320-7EB8-3F3F-640DD48BB26A}"/>
            </a:ext>
          </a:extLst>
        </xdr:cNvPr>
        <xdr:cNvCxnSpPr/>
      </xdr:nvCxnSpPr>
      <xdr:spPr>
        <a:xfrm>
          <a:off x="11049000" y="0"/>
          <a:ext cx="0" cy="73247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0</xdr:row>
      <xdr:rowOff>0</xdr:rowOff>
    </xdr:from>
    <xdr:to>
      <xdr:col>12</xdr:col>
      <xdr:colOff>0</xdr:colOff>
      <xdr:row>61</xdr:row>
      <xdr:rowOff>38100</xdr:rowOff>
    </xdr:to>
    <xdr:cxnSp macro="">
      <xdr:nvCxnSpPr>
        <xdr:cNvPr id="2" name="Straight Connector 1">
          <a:extLst>
            <a:ext uri="{FF2B5EF4-FFF2-40B4-BE49-F238E27FC236}">
              <a16:creationId xmlns:a16="http://schemas.microsoft.com/office/drawing/2014/main" id="{99DBBBFA-59F9-4F15-AA5E-3214BDA66FB4}"/>
            </a:ext>
          </a:extLst>
        </xdr:cNvPr>
        <xdr:cNvCxnSpPr/>
      </xdr:nvCxnSpPr>
      <xdr:spPr>
        <a:xfrm>
          <a:off x="8199120" y="0"/>
          <a:ext cx="0" cy="102641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https://www.bing.com/financeapi/forcetrigger?t=brlsec&amp;q=XETR%3aTMV&amp;form=skydnc</v>
    <v>Learn more on Bing</v>
  </rv>
  <rv s="1">
    <v>en-GB</v>
    <v>brlsec</v>
    <v>268435456</v>
    <v>1</v>
    <v>Powered by Refinitiv</v>
    <v>0</v>
    <v>TeamViewer SE (XETR:TMV)</v>
    <v>2</v>
    <v>3</v>
    <v>Finance</v>
    <v>4</v>
    <v>15.26</v>
    <v>8.9260000000000002</v>
    <v>0.55030000000000001</v>
    <v>0.13200000000000001</v>
    <v>1.3939E-2</v>
    <v>EUR</v>
    <v>TeamViewer AG is a Germany-based company engaged in the software development. The Company focuses primarily on the cloud-based technologies that enable online remote support and collaboration globally. The Company offers software solutions to remotely access and connect any computer, tablet, laptop, mobile device and Internet of Things (IoT) endpoint, such us industrial machines to allow remote control, management and monitoring of devices, as well as interaction and collaboration. Its product portfolio includes TeamViewer, TeamViewer Tensor, TeamViewer Pilot, TeamViewer loT, TeamViewer Remote Management, servicecamp and Bizz. The Company has offices in Europe, the United States and Asia Pacific.</v>
    <v>1545</v>
    <v>Xetra</v>
    <v>XETR</v>
    <v>XETR</v>
    <v>Bahnhofsplatz 2, GOEPPINGEN, BADEN-WUERTTEMBERG, 73033 DE</v>
    <v>9.7219999999999995</v>
    <v>Software &amp; IT Services</v>
    <v>Stock</v>
    <v>45653.8125</v>
    <v>0</v>
    <v>9.4580000000000002</v>
    <v>1609900000</v>
    <v>TeamViewer SE</v>
    <v>TeamViewer SE</v>
    <v>9.5</v>
    <v>12.89</v>
    <v>9.4700000000000006</v>
    <v>9.6020000000000003</v>
    <v>170000000</v>
    <v>TMV</v>
    <v>TeamViewer SE (XETR:TMV)</v>
    <v>447277</v>
    <v>1216270</v>
    <v>2019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347A-7AEC-4628-8C7B-00CACB72439E}">
  <dimension ref="J2:L15"/>
  <sheetViews>
    <sheetView workbookViewId="0">
      <selection activeCell="K6" sqref="K6"/>
    </sheetView>
  </sheetViews>
  <sheetFormatPr defaultColWidth="9.140625" defaultRowHeight="12.75" x14ac:dyDescent="0.2"/>
  <cols>
    <col min="1" max="10" width="9.140625" style="1"/>
    <col min="11" max="11" width="11.85546875" style="1" bestFit="1" customWidth="1"/>
    <col min="12" max="16384" width="9.140625" style="1"/>
  </cols>
  <sheetData>
    <row r="2" spans="10:12" x14ac:dyDescent="0.2">
      <c r="K2" s="1" t="s">
        <v>0</v>
      </c>
      <c r="L2" s="1" t="e" vm="1">
        <v>#VALUE!</v>
      </c>
    </row>
    <row r="3" spans="10:12" x14ac:dyDescent="0.2">
      <c r="K3" s="1" t="s">
        <v>1</v>
      </c>
      <c r="L3" s="3" cm="1">
        <f t="array" aca="1" ref="L3" ca="1">+_FV(L2,"Price")</f>
        <v>9.6020000000000003</v>
      </c>
    </row>
    <row r="4" spans="10:12" x14ac:dyDescent="0.2">
      <c r="K4" s="1" t="s">
        <v>2</v>
      </c>
      <c r="L4" s="1">
        <v>164.047</v>
      </c>
    </row>
    <row r="5" spans="10:12" x14ac:dyDescent="0.2">
      <c r="K5" s="1" t="s">
        <v>3</v>
      </c>
      <c r="L5" s="2">
        <f ca="1">+L3*L4</f>
        <v>1575.179294</v>
      </c>
    </row>
    <row r="6" spans="10:12" x14ac:dyDescent="0.2">
      <c r="K6" s="1" t="s">
        <v>4</v>
      </c>
      <c r="L6" s="2">
        <f>45.892+4.93+7.697+17.574</f>
        <v>76.093000000000004</v>
      </c>
    </row>
    <row r="7" spans="10:12" x14ac:dyDescent="0.2">
      <c r="K7" s="1" t="s">
        <v>5</v>
      </c>
      <c r="L7" s="2">
        <f>332.115+171.384+5.981</f>
        <v>509.48</v>
      </c>
    </row>
    <row r="8" spans="10:12" x14ac:dyDescent="0.2">
      <c r="K8" s="1" t="s">
        <v>6</v>
      </c>
      <c r="L8" s="2">
        <f ca="1">+L5-L6+L7</f>
        <v>2008.566294</v>
      </c>
    </row>
    <row r="11" spans="10:12" x14ac:dyDescent="0.2">
      <c r="K11" s="1" t="s">
        <v>7</v>
      </c>
      <c r="L11" s="8">
        <f ca="1">+L8/model!L53</f>
        <v>8.8997872894761336</v>
      </c>
    </row>
    <row r="15" spans="10:12" x14ac:dyDescent="0.2">
      <c r="J15" s="1"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566D-BF89-4CAA-A377-DBA0A4262801}">
  <dimension ref="A1:BD67"/>
  <sheetViews>
    <sheetView tabSelected="1" workbookViewId="0">
      <pane xSplit="1" ySplit="1" topLeftCell="B2" activePane="bottomRight" state="frozen"/>
      <selection pane="topRight" activeCell="B1" sqref="B1"/>
      <selection pane="bottomLeft" activeCell="A2" sqref="A2"/>
      <selection pane="bottomRight" activeCell="F5" sqref="F5:L27"/>
    </sheetView>
  </sheetViews>
  <sheetFormatPr defaultColWidth="9.140625" defaultRowHeight="12.75" x14ac:dyDescent="0.2"/>
  <cols>
    <col min="1" max="1" width="19.28515625" style="1" bestFit="1" customWidth="1"/>
    <col min="2" max="23" width="9.140625" style="1"/>
    <col min="24" max="24" width="9.7109375" style="1" bestFit="1" customWidth="1"/>
    <col min="25" max="26" width="9.140625" style="1"/>
    <col min="27" max="27" width="9.7109375" style="1" bestFit="1" customWidth="1"/>
    <col min="28" max="16384" width="9.140625" style="1"/>
  </cols>
  <sheetData>
    <row r="1" spans="1:27" x14ac:dyDescent="0.2">
      <c r="B1" s="4" t="s">
        <v>8</v>
      </c>
      <c r="C1" s="4" t="s">
        <v>9</v>
      </c>
      <c r="D1" s="4" t="s">
        <v>10</v>
      </c>
      <c r="E1" s="4" t="s">
        <v>11</v>
      </c>
      <c r="F1" s="4" t="s">
        <v>12</v>
      </c>
      <c r="G1" s="4" t="s">
        <v>13</v>
      </c>
      <c r="H1" s="4" t="s">
        <v>14</v>
      </c>
      <c r="I1" s="4" t="s">
        <v>15</v>
      </c>
      <c r="J1" s="4" t="s">
        <v>16</v>
      </c>
      <c r="K1" s="4" t="s">
        <v>17</v>
      </c>
      <c r="L1" s="4" t="s">
        <v>18</v>
      </c>
      <c r="N1" s="4">
        <v>2020</v>
      </c>
      <c r="O1" s="4">
        <f>+N1+1</f>
        <v>2021</v>
      </c>
      <c r="P1" s="4">
        <f t="shared" ref="P1:X1" si="0">+O1+1</f>
        <v>2022</v>
      </c>
      <c r="Q1" s="4">
        <f t="shared" si="0"/>
        <v>2023</v>
      </c>
      <c r="R1" s="4">
        <f t="shared" si="0"/>
        <v>2024</v>
      </c>
      <c r="S1" s="4">
        <f t="shared" si="0"/>
        <v>2025</v>
      </c>
      <c r="T1" s="4">
        <f t="shared" si="0"/>
        <v>2026</v>
      </c>
      <c r="U1" s="4">
        <f t="shared" si="0"/>
        <v>2027</v>
      </c>
      <c r="V1" s="4">
        <f t="shared" si="0"/>
        <v>2028</v>
      </c>
      <c r="W1" s="4">
        <f t="shared" si="0"/>
        <v>2029</v>
      </c>
      <c r="X1" s="4">
        <f t="shared" si="0"/>
        <v>2030</v>
      </c>
    </row>
    <row r="2" spans="1:27" x14ac:dyDescent="0.2">
      <c r="A2" s="1" t="s">
        <v>19</v>
      </c>
      <c r="B2" s="7"/>
      <c r="C2" s="7"/>
      <c r="D2" s="7"/>
      <c r="E2" s="7"/>
      <c r="F2" s="7"/>
      <c r="G2" s="7"/>
      <c r="H2" s="2">
        <v>127.6</v>
      </c>
      <c r="I2" s="7"/>
      <c r="J2" s="7"/>
      <c r="K2" s="7"/>
      <c r="L2" s="2">
        <v>131.6</v>
      </c>
      <c r="N2" s="2">
        <v>412.96600000000001</v>
      </c>
      <c r="O2" s="2">
        <v>432.27300000000002</v>
      </c>
      <c r="P2" s="2">
        <v>467.24400000000003</v>
      </c>
      <c r="Q2" s="2">
        <v>504.63900000000001</v>
      </c>
      <c r="R2" s="2">
        <f>+Q2*1.06</f>
        <v>534.91734000000008</v>
      </c>
      <c r="S2" s="2">
        <f t="shared" ref="S2:X2" si="1">+R2*1.06</f>
        <v>567.0123804000001</v>
      </c>
      <c r="T2" s="2">
        <f t="shared" si="1"/>
        <v>601.03312322400018</v>
      </c>
      <c r="U2" s="2">
        <f t="shared" si="1"/>
        <v>637.09511061744024</v>
      </c>
      <c r="V2" s="2">
        <f t="shared" si="1"/>
        <v>675.32081725448666</v>
      </c>
      <c r="W2" s="2">
        <f t="shared" si="1"/>
        <v>715.8400662897559</v>
      </c>
      <c r="X2" s="2">
        <f t="shared" si="1"/>
        <v>758.79047026714125</v>
      </c>
    </row>
    <row r="3" spans="1:27" x14ac:dyDescent="0.2">
      <c r="A3" s="1" t="s">
        <v>20</v>
      </c>
      <c r="B3" s="7"/>
      <c r="C3" s="7"/>
      <c r="D3" s="7"/>
      <c r="E3" s="7"/>
      <c r="F3" s="7"/>
      <c r="G3" s="7"/>
      <c r="H3" s="2">
        <v>30.5</v>
      </c>
      <c r="I3" s="7"/>
      <c r="J3" s="7"/>
      <c r="K3" s="7"/>
      <c r="L3" s="2">
        <v>37.1</v>
      </c>
      <c r="N3" s="2">
        <v>42.648000000000003</v>
      </c>
      <c r="O3" s="2">
        <v>68.823999999999998</v>
      </c>
      <c r="P3" s="2">
        <v>98.631</v>
      </c>
      <c r="Q3" s="2">
        <v>122.051</v>
      </c>
      <c r="R3" s="2">
        <f>+Q3*1.4</f>
        <v>170.87139999999999</v>
      </c>
      <c r="S3" s="2">
        <f>+R3*1.2</f>
        <v>205.04567999999998</v>
      </c>
      <c r="T3" s="2">
        <f t="shared" ref="T3" si="2">+S3*1.2</f>
        <v>246.05481599999996</v>
      </c>
      <c r="U3" s="2">
        <f>+T3*1.15</f>
        <v>282.96303839999996</v>
      </c>
      <c r="V3" s="2">
        <f t="shared" ref="V3:X3" si="3">+U3*1.1</f>
        <v>311.25934223999997</v>
      </c>
      <c r="W3" s="2">
        <f t="shared" si="3"/>
        <v>342.38527646400001</v>
      </c>
      <c r="X3" s="2">
        <f t="shared" si="3"/>
        <v>376.62380411040004</v>
      </c>
    </row>
    <row r="4" spans="1:27" x14ac:dyDescent="0.2">
      <c r="B4" s="4"/>
      <c r="C4" s="4"/>
      <c r="D4" s="4"/>
      <c r="E4" s="4"/>
      <c r="F4" s="4"/>
      <c r="G4" s="4"/>
      <c r="H4" s="4"/>
      <c r="I4" s="4"/>
      <c r="J4" s="4"/>
      <c r="K4" s="4"/>
      <c r="N4" s="2"/>
      <c r="O4" s="2"/>
      <c r="P4" s="2"/>
      <c r="Q4" s="2"/>
      <c r="R4" s="2"/>
      <c r="S4" s="2"/>
      <c r="T4" s="2"/>
      <c r="U4" s="2"/>
      <c r="V4" s="2"/>
      <c r="W4" s="2"/>
      <c r="X4" s="2"/>
    </row>
    <row r="5" spans="1:27" x14ac:dyDescent="0.2">
      <c r="A5" s="1" t="s">
        <v>21</v>
      </c>
      <c r="B5" s="4"/>
      <c r="C5" s="4"/>
      <c r="D5" s="4"/>
      <c r="E5" s="4"/>
      <c r="F5" s="4"/>
      <c r="G5" s="4"/>
      <c r="H5" s="4"/>
      <c r="I5" s="4"/>
      <c r="J5" s="4"/>
      <c r="K5" s="4"/>
      <c r="N5" s="2">
        <v>112.6</v>
      </c>
      <c r="O5" s="2">
        <v>133.97</v>
      </c>
      <c r="P5" s="2">
        <v>157.87299999999999</v>
      </c>
      <c r="Q5" s="2">
        <v>175.94300000000001</v>
      </c>
      <c r="R5" s="2"/>
      <c r="S5" s="2"/>
      <c r="T5" s="2"/>
      <c r="U5" s="2"/>
      <c r="V5" s="2"/>
      <c r="W5" s="2"/>
      <c r="X5" s="2"/>
    </row>
    <row r="6" spans="1:27" x14ac:dyDescent="0.2">
      <c r="A6" s="1" t="s">
        <v>22</v>
      </c>
      <c r="B6" s="4"/>
      <c r="C6" s="4"/>
      <c r="D6" s="4"/>
      <c r="E6" s="4"/>
      <c r="F6" s="4"/>
      <c r="G6" s="4"/>
      <c r="H6" s="4"/>
      <c r="I6" s="4"/>
      <c r="J6" s="4"/>
      <c r="K6" s="4"/>
      <c r="N6" s="2">
        <v>74.805999999999997</v>
      </c>
      <c r="O6" s="2">
        <v>78.387</v>
      </c>
      <c r="P6" s="2">
        <v>89.012</v>
      </c>
      <c r="Q6" s="2">
        <v>101.625</v>
      </c>
      <c r="R6" s="2"/>
      <c r="S6" s="2"/>
      <c r="T6" s="2"/>
      <c r="U6" s="2"/>
      <c r="V6" s="2"/>
      <c r="W6" s="2"/>
      <c r="X6" s="2"/>
    </row>
    <row r="7" spans="1:27" x14ac:dyDescent="0.2">
      <c r="A7" s="1" t="s">
        <v>23</v>
      </c>
      <c r="B7" s="4"/>
      <c r="C7" s="4"/>
      <c r="D7" s="4"/>
      <c r="E7" s="4"/>
      <c r="F7" s="4"/>
      <c r="G7" s="4"/>
      <c r="H7" s="4"/>
      <c r="I7" s="4"/>
      <c r="J7" s="4"/>
      <c r="K7" s="4"/>
      <c r="N7" s="2">
        <v>25.893999999999998</v>
      </c>
      <c r="O7" s="2">
        <v>29.890999999999998</v>
      </c>
      <c r="P7" s="2">
        <v>33.128</v>
      </c>
      <c r="Q7" s="2">
        <v>35.481000000000002</v>
      </c>
      <c r="R7" s="2"/>
      <c r="S7" s="2"/>
      <c r="T7" s="2"/>
      <c r="U7" s="2"/>
      <c r="V7" s="2"/>
      <c r="W7" s="2"/>
      <c r="X7" s="2"/>
    </row>
    <row r="8" spans="1:27" x14ac:dyDescent="0.2">
      <c r="A8" s="1" t="s">
        <v>24</v>
      </c>
      <c r="B8" s="4"/>
      <c r="C8" s="4"/>
      <c r="D8" s="4"/>
      <c r="E8" s="4"/>
      <c r="F8" s="4"/>
      <c r="G8" s="4"/>
      <c r="H8" s="4"/>
      <c r="I8" s="4"/>
      <c r="J8" s="4"/>
      <c r="K8" s="4"/>
      <c r="N8" s="2">
        <v>24.818000000000001</v>
      </c>
      <c r="O8" s="2">
        <v>27.905000000000001</v>
      </c>
      <c r="P8" s="2">
        <v>31.138000000000002</v>
      </c>
      <c r="Q8" s="2">
        <v>33.997</v>
      </c>
      <c r="R8" s="2"/>
      <c r="S8" s="2"/>
      <c r="T8" s="2"/>
      <c r="U8" s="2"/>
      <c r="V8" s="2"/>
      <c r="W8" s="2"/>
      <c r="X8" s="2"/>
    </row>
    <row r="9" spans="1:27" x14ac:dyDescent="0.2">
      <c r="A9" s="1" t="s">
        <v>25</v>
      </c>
      <c r="B9" s="4"/>
      <c r="C9" s="4"/>
      <c r="D9" s="4"/>
      <c r="E9" s="4"/>
      <c r="F9" s="4"/>
      <c r="G9" s="4"/>
      <c r="H9" s="4"/>
      <c r="I9" s="4"/>
      <c r="J9" s="4"/>
      <c r="K9" s="4"/>
      <c r="N9" s="2">
        <v>217.49600000000001</v>
      </c>
      <c r="O9" s="2">
        <v>230.94499999999999</v>
      </c>
      <c r="P9" s="2">
        <v>254.72399999999999</v>
      </c>
      <c r="Q9" s="2">
        <v>279.642</v>
      </c>
      <c r="R9" s="2"/>
      <c r="S9" s="2"/>
      <c r="T9" s="2"/>
      <c r="U9" s="2"/>
      <c r="V9" s="2"/>
      <c r="W9" s="2"/>
      <c r="X9" s="2"/>
    </row>
    <row r="10" spans="1:27" x14ac:dyDescent="0.2">
      <c r="B10" s="4"/>
      <c r="C10" s="4"/>
      <c r="D10" s="4"/>
      <c r="E10" s="4"/>
      <c r="F10" s="4"/>
      <c r="G10" s="4"/>
      <c r="H10" s="4"/>
      <c r="I10" s="4"/>
      <c r="J10" s="4"/>
      <c r="K10" s="4"/>
      <c r="N10" s="4"/>
      <c r="O10" s="4"/>
      <c r="P10" s="4"/>
      <c r="Q10" s="4"/>
      <c r="R10" s="4"/>
      <c r="S10" s="4"/>
      <c r="T10" s="4"/>
      <c r="U10" s="4"/>
      <c r="V10" s="4"/>
      <c r="W10" s="4"/>
      <c r="X10" s="4"/>
    </row>
    <row r="11" spans="1:27" x14ac:dyDescent="0.2">
      <c r="A11" s="4" t="s">
        <v>26</v>
      </c>
      <c r="B11" s="7">
        <v>134.494</v>
      </c>
      <c r="C11" s="7">
        <v>137.48400000000001</v>
      </c>
      <c r="D11" s="7">
        <v>143.38999999999999</v>
      </c>
      <c r="E11" s="7">
        <v>150.50700000000001</v>
      </c>
      <c r="F11" s="7">
        <v>151.309</v>
      </c>
      <c r="G11" s="7">
        <v>154.15199999999999</v>
      </c>
      <c r="H11" s="7">
        <f>+H2+H3</f>
        <v>158.1</v>
      </c>
      <c r="I11" s="7">
        <v>163.114</v>
      </c>
      <c r="J11" s="7">
        <v>161.654</v>
      </c>
      <c r="K11" s="7">
        <v>164.11600000000001</v>
      </c>
      <c r="L11" s="7">
        <f>+L2+L3</f>
        <v>168.7</v>
      </c>
      <c r="M11" s="4"/>
      <c r="N11" s="7">
        <v>455.61399999999998</v>
      </c>
      <c r="O11" s="7">
        <v>501.09699999999998</v>
      </c>
      <c r="P11" s="7">
        <v>565.87400000000002</v>
      </c>
      <c r="Q11" s="7">
        <v>626.68899999999996</v>
      </c>
      <c r="R11" s="7">
        <f>+R2+R3</f>
        <v>705.78874000000008</v>
      </c>
      <c r="S11" s="7">
        <f t="shared" ref="S11:X11" si="4">+S2+S3</f>
        <v>772.05806040000004</v>
      </c>
      <c r="T11" s="7">
        <f t="shared" si="4"/>
        <v>847.08793922400014</v>
      </c>
      <c r="U11" s="7">
        <f t="shared" si="4"/>
        <v>920.0581490174402</v>
      </c>
      <c r="V11" s="7">
        <f t="shared" si="4"/>
        <v>986.58015949448668</v>
      </c>
      <c r="W11" s="7">
        <f t="shared" si="4"/>
        <v>1058.225342753756</v>
      </c>
      <c r="X11" s="7">
        <f t="shared" si="4"/>
        <v>1135.4142743775412</v>
      </c>
      <c r="Z11" s="9" t="s">
        <v>27</v>
      </c>
      <c r="AA11" s="10">
        <v>0.1</v>
      </c>
    </row>
    <row r="12" spans="1:27" x14ac:dyDescent="0.2">
      <c r="A12" s="1" t="s">
        <v>28</v>
      </c>
      <c r="B12" s="2">
        <v>18.199000000000002</v>
      </c>
      <c r="C12" s="2">
        <v>17.459</v>
      </c>
      <c r="D12" s="2">
        <v>24.744</v>
      </c>
      <c r="E12" s="2">
        <v>20.896000000000001</v>
      </c>
      <c r="F12" s="2">
        <v>19.486000000000001</v>
      </c>
      <c r="G12" s="2">
        <v>19.343</v>
      </c>
      <c r="H12" s="2">
        <v>20.751000000000001</v>
      </c>
      <c r="I12" s="2">
        <v>22.163</v>
      </c>
      <c r="J12" s="2">
        <v>22.088000000000001</v>
      </c>
      <c r="K12" s="2">
        <v>23.41</v>
      </c>
      <c r="L12" s="2">
        <v>17.391999999999999</v>
      </c>
      <c r="N12" s="2">
        <v>64.102000000000004</v>
      </c>
      <c r="O12" s="2">
        <v>70.944000000000003</v>
      </c>
      <c r="P12" s="2">
        <v>81.298000000000002</v>
      </c>
      <c r="Q12" s="2">
        <v>81.742999999999995</v>
      </c>
      <c r="R12" s="2">
        <f>+R11*0.14</f>
        <v>98.810423600000021</v>
      </c>
      <c r="S12" s="2">
        <f t="shared" ref="S12:X12" si="5">+S11*0.14</f>
        <v>108.08812845600002</v>
      </c>
      <c r="T12" s="2">
        <f t="shared" si="5"/>
        <v>118.59231149136004</v>
      </c>
      <c r="U12" s="2">
        <f t="shared" si="5"/>
        <v>128.80814086244163</v>
      </c>
      <c r="V12" s="2">
        <f t="shared" si="5"/>
        <v>138.12122232922815</v>
      </c>
      <c r="W12" s="2">
        <f t="shared" si="5"/>
        <v>148.15154798552584</v>
      </c>
      <c r="X12" s="2">
        <f t="shared" si="5"/>
        <v>158.9579984128558</v>
      </c>
      <c r="Z12" s="11" t="s">
        <v>29</v>
      </c>
      <c r="AA12" s="12">
        <v>0.02</v>
      </c>
    </row>
    <row r="13" spans="1:27" x14ac:dyDescent="0.2">
      <c r="A13" s="1" t="s">
        <v>30</v>
      </c>
      <c r="B13" s="2">
        <f t="shared" ref="B13:E13" si="6">+B11-B12</f>
        <v>116.295</v>
      </c>
      <c r="C13" s="2">
        <f t="shared" si="6"/>
        <v>120.02500000000001</v>
      </c>
      <c r="D13" s="2">
        <f t="shared" si="6"/>
        <v>118.64599999999999</v>
      </c>
      <c r="E13" s="2">
        <f t="shared" si="6"/>
        <v>129.61099999999999</v>
      </c>
      <c r="F13" s="2">
        <f>+F11-F12</f>
        <v>131.82300000000001</v>
      </c>
      <c r="G13" s="2">
        <f t="shared" ref="G13:K13" si="7">+G11-G12</f>
        <v>134.809</v>
      </c>
      <c r="H13" s="2">
        <f t="shared" si="7"/>
        <v>137.34899999999999</v>
      </c>
      <c r="I13" s="2">
        <f t="shared" si="7"/>
        <v>140.95099999999999</v>
      </c>
      <c r="J13" s="2">
        <f t="shared" si="7"/>
        <v>139.566</v>
      </c>
      <c r="K13" s="2">
        <f t="shared" si="7"/>
        <v>140.70600000000002</v>
      </c>
      <c r="L13" s="2">
        <f t="shared" ref="L13" si="8">+L11-L12</f>
        <v>151.30799999999999</v>
      </c>
      <c r="N13" s="2">
        <f t="shared" ref="N13" si="9">+N11-N12</f>
        <v>391.51199999999994</v>
      </c>
      <c r="O13" s="2">
        <f t="shared" ref="O13" si="10">+O11-O12</f>
        <v>430.15299999999996</v>
      </c>
      <c r="P13" s="2">
        <f t="shared" ref="P13" si="11">+P11-P12</f>
        <v>484.57600000000002</v>
      </c>
      <c r="Q13" s="2">
        <f t="shared" ref="Q13" si="12">+Q11-Q12</f>
        <v>544.94599999999991</v>
      </c>
      <c r="R13" s="2">
        <f t="shared" ref="R13" si="13">+R11-R12</f>
        <v>606.97831640000004</v>
      </c>
      <c r="S13" s="2">
        <f t="shared" ref="S13" si="14">+S11-S12</f>
        <v>663.969931944</v>
      </c>
      <c r="T13" s="2">
        <f t="shared" ref="T13" si="15">+T11-T12</f>
        <v>728.49562773264006</v>
      </c>
      <c r="U13" s="2">
        <f t="shared" ref="U13" si="16">+U11-U12</f>
        <v>791.25000815499857</v>
      </c>
      <c r="V13" s="2">
        <f t="shared" ref="V13" si="17">+V11-V12</f>
        <v>848.45893716525848</v>
      </c>
      <c r="W13" s="2">
        <f t="shared" ref="W13" si="18">+W11-W12</f>
        <v>910.07379476823007</v>
      </c>
      <c r="X13" s="2">
        <f t="shared" ref="X13" si="19">+X11-X12</f>
        <v>976.45627596468546</v>
      </c>
      <c r="Z13" s="11" t="s">
        <v>31</v>
      </c>
      <c r="AA13" s="12">
        <v>0.03</v>
      </c>
    </row>
    <row r="14" spans="1:27" x14ac:dyDescent="0.2">
      <c r="A14" s="1" t="s">
        <v>32</v>
      </c>
      <c r="B14" s="2">
        <v>16.792999999999999</v>
      </c>
      <c r="C14" s="2">
        <v>18.251000000000001</v>
      </c>
      <c r="D14" s="2">
        <v>15.151999999999999</v>
      </c>
      <c r="E14" s="2">
        <v>19.343</v>
      </c>
      <c r="F14" s="2">
        <v>18.899999999999999</v>
      </c>
      <c r="G14" s="2">
        <v>19.905000000000001</v>
      </c>
      <c r="H14" s="2">
        <v>19.581</v>
      </c>
      <c r="I14" s="2">
        <v>21.751999999999999</v>
      </c>
      <c r="J14" s="2">
        <v>19.742000000000001</v>
      </c>
      <c r="K14" s="2">
        <v>18.948</v>
      </c>
      <c r="L14" s="2">
        <v>21.265999999999998</v>
      </c>
      <c r="N14" s="2">
        <v>46.627000000000002</v>
      </c>
      <c r="O14" s="2">
        <v>62.137</v>
      </c>
      <c r="P14" s="2">
        <v>69.537999999999997</v>
      </c>
      <c r="Q14" s="2">
        <v>80.138000000000005</v>
      </c>
      <c r="R14" s="2">
        <f>+R11*0.127</f>
        <v>89.635169980000015</v>
      </c>
      <c r="S14" s="2">
        <f t="shared" ref="S14:X14" si="20">+S11*0.127</f>
        <v>98.051373670800004</v>
      </c>
      <c r="T14" s="2">
        <f t="shared" si="20"/>
        <v>107.58016828144802</v>
      </c>
      <c r="U14" s="2">
        <f t="shared" si="20"/>
        <v>116.84738492521491</v>
      </c>
      <c r="V14" s="2">
        <f t="shared" si="20"/>
        <v>125.29568025579981</v>
      </c>
      <c r="W14" s="2">
        <f t="shared" si="20"/>
        <v>134.39461852972701</v>
      </c>
      <c r="X14" s="2">
        <f t="shared" si="20"/>
        <v>144.19761284594773</v>
      </c>
      <c r="Z14" s="11" t="s">
        <v>33</v>
      </c>
      <c r="AA14" s="17">
        <f>+NPV(AA11,R28:BD28)</f>
        <v>3573.4222709624955</v>
      </c>
    </row>
    <row r="15" spans="1:27" x14ac:dyDescent="0.2">
      <c r="A15" s="1" t="s">
        <v>34</v>
      </c>
      <c r="B15" s="2">
        <v>31.838000000000001</v>
      </c>
      <c r="C15" s="2">
        <v>31.398</v>
      </c>
      <c r="D15" s="2">
        <v>32.07</v>
      </c>
      <c r="E15" s="2">
        <v>33.100999999999999</v>
      </c>
      <c r="F15" s="2">
        <v>33.084000000000003</v>
      </c>
      <c r="G15" s="2">
        <v>35.24</v>
      </c>
      <c r="H15" s="2">
        <v>33.335999999999999</v>
      </c>
      <c r="I15" s="2">
        <v>37.039000000000001</v>
      </c>
      <c r="J15" s="2">
        <v>35.505000000000003</v>
      </c>
      <c r="K15" s="2">
        <v>34.406999999999996</v>
      </c>
      <c r="L15" s="2">
        <v>22.965</v>
      </c>
      <c r="M15" s="2"/>
      <c r="N15" s="2">
        <v>38.459000000000003</v>
      </c>
      <c r="O15" s="2">
        <v>96.07</v>
      </c>
      <c r="P15" s="2">
        <v>128.40799999999999</v>
      </c>
      <c r="Q15" s="2">
        <v>138.69900000000001</v>
      </c>
      <c r="R15" s="2">
        <f>+R11*0.165</f>
        <v>116.45514210000002</v>
      </c>
      <c r="S15" s="2">
        <f t="shared" ref="S15" si="21">+S11*0.14</f>
        <v>108.08812845600002</v>
      </c>
      <c r="T15" s="2">
        <f>+T11*0.13</f>
        <v>110.12143209912003</v>
      </c>
      <c r="U15" s="2">
        <f>+U11*0.111</f>
        <v>102.12645454093587</v>
      </c>
      <c r="V15" s="2">
        <f t="shared" ref="V15:X15" si="22">+V11*0.111</f>
        <v>109.51039770388802</v>
      </c>
      <c r="W15" s="2">
        <f t="shared" si="22"/>
        <v>117.46301304566691</v>
      </c>
      <c r="X15" s="2">
        <f t="shared" si="22"/>
        <v>126.03098445590707</v>
      </c>
      <c r="Z15" s="11" t="s">
        <v>35</v>
      </c>
      <c r="AA15" s="13">
        <f>+Q57-686</f>
        <v>-1105.8980000000001</v>
      </c>
    </row>
    <row r="16" spans="1:27" x14ac:dyDescent="0.2">
      <c r="A16" s="1" t="s">
        <v>36</v>
      </c>
      <c r="B16" s="2">
        <v>22.864000000000001</v>
      </c>
      <c r="C16" s="2">
        <v>25.393000000000001</v>
      </c>
      <c r="D16" s="2">
        <v>23.492999999999999</v>
      </c>
      <c r="E16" s="2">
        <v>27.300999999999998</v>
      </c>
      <c r="F16" s="2">
        <v>27.888999999999999</v>
      </c>
      <c r="G16" s="2">
        <v>26.774999999999999</v>
      </c>
      <c r="H16" s="2">
        <v>23.486000000000001</v>
      </c>
      <c r="I16" s="2">
        <v>28.54</v>
      </c>
      <c r="J16" s="2">
        <v>28.259</v>
      </c>
      <c r="K16" s="2">
        <v>27.776</v>
      </c>
      <c r="L16" s="2">
        <v>28.823</v>
      </c>
      <c r="N16" s="2">
        <v>77.706999999999994</v>
      </c>
      <c r="O16" s="2">
        <v>89.165000000000006</v>
      </c>
      <c r="P16" s="2">
        <v>99.051000000000002</v>
      </c>
      <c r="Q16" s="2">
        <v>106.691</v>
      </c>
      <c r="R16" s="2">
        <f>+Q16*1.04</f>
        <v>110.95864</v>
      </c>
      <c r="S16" s="2">
        <f t="shared" ref="S16:X16" si="23">+R16*1.04</f>
        <v>115.39698560000001</v>
      </c>
      <c r="T16" s="2">
        <f t="shared" si="23"/>
        <v>120.01286502400001</v>
      </c>
      <c r="U16" s="2">
        <f t="shared" si="23"/>
        <v>124.81337962496001</v>
      </c>
      <c r="V16" s="2">
        <f t="shared" si="23"/>
        <v>129.80591480995841</v>
      </c>
      <c r="W16" s="2">
        <f t="shared" si="23"/>
        <v>134.99815140235674</v>
      </c>
      <c r="X16" s="2">
        <f t="shared" si="23"/>
        <v>140.39807745845101</v>
      </c>
      <c r="Z16" s="11" t="s">
        <v>37</v>
      </c>
      <c r="AA16" s="13">
        <f>+AA14+AA15</f>
        <v>2467.5242709624954</v>
      </c>
    </row>
    <row r="17" spans="1:56" x14ac:dyDescent="0.2">
      <c r="A17" s="1" t="s">
        <v>38</v>
      </c>
      <c r="B17" s="2">
        <v>12.734</v>
      </c>
      <c r="C17" s="2">
        <v>13.464</v>
      </c>
      <c r="D17" s="2">
        <v>12.48</v>
      </c>
      <c r="E17" s="2">
        <v>14.795999999999999</v>
      </c>
      <c r="F17" s="2">
        <v>12.427</v>
      </c>
      <c r="G17" s="2">
        <v>11.624000000000001</v>
      </c>
      <c r="H17" s="2">
        <v>10.47</v>
      </c>
      <c r="I17" s="2">
        <v>14.861000000000001</v>
      </c>
      <c r="J17" s="2">
        <v>11.238</v>
      </c>
      <c r="K17" s="2">
        <v>10.048</v>
      </c>
      <c r="L17" s="2">
        <v>13.128</v>
      </c>
      <c r="N17" s="2">
        <v>54.939</v>
      </c>
      <c r="O17" s="2">
        <v>51.531999999999996</v>
      </c>
      <c r="P17" s="2">
        <v>53.475000000000001</v>
      </c>
      <c r="Q17" s="2">
        <v>49.381</v>
      </c>
      <c r="R17" s="2">
        <f>+Q17*0.98</f>
        <v>48.393380000000001</v>
      </c>
      <c r="S17" s="2">
        <f t="shared" ref="S17:X17" si="24">+R17*1.02</f>
        <v>49.361247599999999</v>
      </c>
      <c r="T17" s="2">
        <f t="shared" si="24"/>
        <v>50.348472551999997</v>
      </c>
      <c r="U17" s="2">
        <f t="shared" si="24"/>
        <v>51.355442003039997</v>
      </c>
      <c r="V17" s="2">
        <f t="shared" si="24"/>
        <v>52.382550843100795</v>
      </c>
      <c r="W17" s="2">
        <f t="shared" si="24"/>
        <v>53.430201859962814</v>
      </c>
      <c r="X17" s="2">
        <f t="shared" si="24"/>
        <v>54.498805897162072</v>
      </c>
      <c r="Z17" s="14" t="s">
        <v>1</v>
      </c>
      <c r="AA17" s="15">
        <f>+AA16/main!L4</f>
        <v>15.041569007433818</v>
      </c>
    </row>
    <row r="18" spans="1:56" x14ac:dyDescent="0.2">
      <c r="A18" s="1" t="s">
        <v>39</v>
      </c>
      <c r="B18" s="2">
        <v>4.43</v>
      </c>
      <c r="C18" s="2">
        <v>1.1359999999999999</v>
      </c>
      <c r="D18" s="2">
        <v>3.6760000000000002</v>
      </c>
      <c r="E18" s="2">
        <v>3.1579999999999999</v>
      </c>
      <c r="F18" s="2">
        <v>2.355</v>
      </c>
      <c r="G18" s="2">
        <v>1.5960000000000001</v>
      </c>
      <c r="H18" s="2">
        <v>1.282</v>
      </c>
      <c r="I18" s="2">
        <v>3.2370000000000001</v>
      </c>
      <c r="J18" s="2">
        <v>2.698</v>
      </c>
      <c r="K18" s="2">
        <v>2.5009999999999999</v>
      </c>
      <c r="L18" s="2">
        <v>2.8460000000000001</v>
      </c>
      <c r="N18" s="2">
        <v>14.576000000000001</v>
      </c>
      <c r="O18" s="2">
        <v>15.994999999999999</v>
      </c>
      <c r="P18" s="2">
        <v>12.4</v>
      </c>
      <c r="Q18" s="2">
        <v>8.5060000000000002</v>
      </c>
      <c r="R18" s="2">
        <f>+Q18*0.97</f>
        <v>8.2508199999999992</v>
      </c>
      <c r="S18" s="2">
        <f t="shared" ref="S18:X18" si="25">+R18*0.97</f>
        <v>8.0032953999999989</v>
      </c>
      <c r="T18" s="2">
        <f t="shared" si="25"/>
        <v>7.763196537999999</v>
      </c>
      <c r="U18" s="2">
        <f t="shared" si="25"/>
        <v>7.5303006418599985</v>
      </c>
      <c r="V18" s="2">
        <f t="shared" si="25"/>
        <v>7.3043916226041983</v>
      </c>
      <c r="W18" s="2">
        <f t="shared" si="25"/>
        <v>7.0852598739260717</v>
      </c>
      <c r="X18" s="2">
        <f t="shared" si="25"/>
        <v>6.872702077708289</v>
      </c>
      <c r="AA18" s="5"/>
    </row>
    <row r="19" spans="1:56" x14ac:dyDescent="0.2">
      <c r="A19" s="1" t="s">
        <v>40</v>
      </c>
      <c r="B19" s="2">
        <v>0.56499999999999995</v>
      </c>
      <c r="C19" s="2">
        <v>3.6629999999999998</v>
      </c>
      <c r="D19" s="2">
        <v>0.76300000000000001</v>
      </c>
      <c r="E19" s="2">
        <v>18.327000000000002</v>
      </c>
      <c r="F19" s="2">
        <v>3.4020000000000001</v>
      </c>
      <c r="G19" s="2">
        <v>0.443</v>
      </c>
      <c r="H19" s="2">
        <v>1.4019999999999999</v>
      </c>
      <c r="I19" s="2">
        <v>3.29</v>
      </c>
      <c r="J19" s="2">
        <v>0.38600000000000001</v>
      </c>
      <c r="K19" s="2">
        <v>0.73599999999999999</v>
      </c>
      <c r="L19" s="2">
        <v>0.41399999999999998</v>
      </c>
      <c r="N19" s="2">
        <v>5.2560000000000002</v>
      </c>
      <c r="O19" s="2">
        <v>5.0389999999999997</v>
      </c>
      <c r="P19" s="2">
        <v>23.318999999999999</v>
      </c>
      <c r="Q19" s="2">
        <v>8.5370000000000008</v>
      </c>
      <c r="R19" s="2"/>
      <c r="S19" s="2"/>
      <c r="T19" s="2"/>
      <c r="U19" s="2"/>
      <c r="V19" s="2"/>
      <c r="W19" s="2"/>
      <c r="X19" s="2"/>
    </row>
    <row r="20" spans="1:56" x14ac:dyDescent="0.2">
      <c r="A20" s="1" t="s">
        <v>41</v>
      </c>
      <c r="B20" s="2">
        <v>-0.11799999999999999</v>
      </c>
      <c r="C20" s="2">
        <v>-0.25900000000000001</v>
      </c>
      <c r="D20" s="2">
        <v>-0.16900000000000001</v>
      </c>
      <c r="E20" s="2">
        <v>-0.752</v>
      </c>
      <c r="F20" s="2">
        <v>-0.17599999999999999</v>
      </c>
      <c r="G20" s="2">
        <v>-0.747</v>
      </c>
      <c r="H20" s="2">
        <v>-5.3170000000000002</v>
      </c>
      <c r="I20" s="2">
        <v>2.7349999999999999</v>
      </c>
      <c r="J20" s="2">
        <v>-3.7789999999999999</v>
      </c>
      <c r="K20" s="2">
        <v>-1.829</v>
      </c>
      <c r="L20" s="2">
        <v>2.3580000000000001</v>
      </c>
      <c r="N20" s="2">
        <v>-0.41499999999999998</v>
      </c>
      <c r="O20" s="2">
        <v>-2.8690000000000002</v>
      </c>
      <c r="P20" s="2">
        <v>-1.2989999999999999</v>
      </c>
      <c r="Q20" s="2">
        <v>-3.5059999999999998</v>
      </c>
      <c r="R20" s="2"/>
      <c r="S20" s="2"/>
      <c r="T20" s="2"/>
      <c r="U20" s="2"/>
      <c r="V20" s="2"/>
      <c r="W20" s="2"/>
      <c r="X20" s="2"/>
    </row>
    <row r="21" spans="1:56" x14ac:dyDescent="0.2">
      <c r="A21" s="4" t="s">
        <v>42</v>
      </c>
      <c r="B21" s="7">
        <f t="shared" ref="B21:E21" si="26">+B13-B14-B15-B16-B17-B18+B19+B20</f>
        <v>28.083000000000013</v>
      </c>
      <c r="C21" s="7">
        <f t="shared" si="26"/>
        <v>33.787000000000006</v>
      </c>
      <c r="D21" s="7">
        <f t="shared" si="26"/>
        <v>32.368999999999978</v>
      </c>
      <c r="E21" s="7">
        <f t="shared" si="26"/>
        <v>49.486999999999988</v>
      </c>
      <c r="F21" s="7">
        <f>+F13-F14-F15-F16-F17-F18+F19+F20</f>
        <v>40.394000000000005</v>
      </c>
      <c r="G21" s="7">
        <f t="shared" ref="G21:K21" si="27">+G13-G14-G15-G16-G17-G18+G19+G20</f>
        <v>39.364999999999981</v>
      </c>
      <c r="H21" s="7">
        <f t="shared" si="27"/>
        <v>45.278999999999989</v>
      </c>
      <c r="I21" s="7">
        <f t="shared" si="27"/>
        <v>41.546999999999997</v>
      </c>
      <c r="J21" s="7">
        <f t="shared" si="27"/>
        <v>38.730999999999995</v>
      </c>
      <c r="K21" s="7">
        <f t="shared" si="27"/>
        <v>45.933000000000014</v>
      </c>
      <c r="L21" s="7">
        <f t="shared" ref="L21" si="28">+L13-L14-L15-L16-L17-L18+L19+L20</f>
        <v>65.051999999999992</v>
      </c>
      <c r="M21" s="4"/>
      <c r="N21" s="7">
        <f t="shared" ref="N21" si="29">+N13-N14-N15-N16-N17-N18+N19+N20</f>
        <v>164.04499999999996</v>
      </c>
      <c r="O21" s="7">
        <f t="shared" ref="O21" si="30">+O13-O14-O15-O16-O17-O18+O19+O20</f>
        <v>117.42399999999996</v>
      </c>
      <c r="P21" s="7">
        <f t="shared" ref="P21" si="31">+P13-P14-P15-P16-P17-P18+P19+P20</f>
        <v>143.72399999999999</v>
      </c>
      <c r="Q21" s="7">
        <f t="shared" ref="Q21" si="32">+Q13-Q14-Q15-Q16-Q17-Q18+Q19+Q20</f>
        <v>166.56199999999987</v>
      </c>
      <c r="R21" s="7">
        <f>+R13-R14-R15-R16-R17-R18+R19+R20</f>
        <v>233.28516432000004</v>
      </c>
      <c r="S21" s="7">
        <f t="shared" ref="S21" si="33">+S13-S14-S15-S16-S17-S18+S19+S20</f>
        <v>285.06890121719994</v>
      </c>
      <c r="T21" s="7">
        <f t="shared" ref="T21" si="34">+T13-T14-T15-T16-T17-T18+T19+T20</f>
        <v>332.66949323807205</v>
      </c>
      <c r="U21" s="7">
        <f t="shared" ref="U21" si="35">+U13-U14-U15-U16-U17-U18+U19+U20</f>
        <v>388.57704641898772</v>
      </c>
      <c r="V21" s="7">
        <f t="shared" ref="V21" si="36">+V13-V14-V15-V16-V17-V18+V19+V20</f>
        <v>424.16000192990737</v>
      </c>
      <c r="W21" s="7">
        <f t="shared" ref="W21" si="37">+W13-W14-W15-W16-W17-W18+W19+W20</f>
        <v>462.7025500565905</v>
      </c>
      <c r="X21" s="7">
        <f t="shared" ref="X21" si="38">+X13-X14-X15-X16-X17-X18+X19+X20</f>
        <v>504.45809322950936</v>
      </c>
    </row>
    <row r="22" spans="1:56" x14ac:dyDescent="0.2">
      <c r="A22" s="1" t="s">
        <v>43</v>
      </c>
      <c r="B22" s="2">
        <v>7.0000000000000007E-2</v>
      </c>
      <c r="C22" s="2">
        <v>0.40500000000000003</v>
      </c>
      <c r="D22" s="2">
        <v>2.464</v>
      </c>
      <c r="E22" s="2">
        <v>1.329</v>
      </c>
      <c r="F22" s="2">
        <v>0.65500000000000003</v>
      </c>
      <c r="G22" s="2">
        <v>0.58899999999999997</v>
      </c>
      <c r="H22" s="2">
        <v>-0.438</v>
      </c>
      <c r="I22" s="2">
        <v>0.57499999999999996</v>
      </c>
      <c r="J22" s="2">
        <v>0.17399999999999999</v>
      </c>
      <c r="K22" s="2">
        <v>0.42199999999999999</v>
      </c>
      <c r="L22" s="2">
        <v>7.9000000000000001E-2</v>
      </c>
      <c r="N22" s="2">
        <v>2.9529999999999998</v>
      </c>
      <c r="O22" s="2">
        <v>0.59899999999999998</v>
      </c>
      <c r="P22" s="2">
        <v>4.2670000000000003</v>
      </c>
      <c r="Q22" s="2">
        <v>1.381</v>
      </c>
      <c r="R22" s="2"/>
      <c r="S22" s="2"/>
      <c r="T22" s="2"/>
      <c r="U22" s="2"/>
      <c r="V22" s="2"/>
      <c r="W22" s="2"/>
      <c r="X22" s="2"/>
    </row>
    <row r="23" spans="1:56" x14ac:dyDescent="0.2">
      <c r="A23" s="1" t="s">
        <v>44</v>
      </c>
      <c r="B23" s="2">
        <v>-4.8079999999999998</v>
      </c>
      <c r="C23" s="2">
        <v>-11.821</v>
      </c>
      <c r="D23" s="2">
        <v>-5.2850000000000001</v>
      </c>
      <c r="E23" s="2">
        <v>-3.8679999999999999</v>
      </c>
      <c r="F23" s="2">
        <v>-4.3780000000000001</v>
      </c>
      <c r="G23" s="2">
        <v>-4.2910000000000004</v>
      </c>
      <c r="H23" s="2">
        <v>-3.468</v>
      </c>
      <c r="I23" s="2">
        <v>-4.7279999999999998</v>
      </c>
      <c r="J23" s="2">
        <v>-4.4130000000000003</v>
      </c>
      <c r="K23" s="2">
        <v>-4.7729999999999997</v>
      </c>
      <c r="L23" s="2">
        <v>-4.3170000000000002</v>
      </c>
      <c r="N23" s="2">
        <v>-22.887</v>
      </c>
      <c r="O23" s="2">
        <v>-19.170000000000002</v>
      </c>
      <c r="P23" s="2">
        <v>-25.782</v>
      </c>
      <c r="Q23" s="2">
        <v>-16.864000000000001</v>
      </c>
      <c r="R23" s="2">
        <f>+Q23*0.95</f>
        <v>-16.020800000000001</v>
      </c>
      <c r="S23" s="2">
        <f t="shared" ref="S23:X23" si="39">+R23*0.95</f>
        <v>-15.219760000000001</v>
      </c>
      <c r="T23" s="2">
        <f t="shared" si="39"/>
        <v>-14.458772</v>
      </c>
      <c r="U23" s="2">
        <f t="shared" si="39"/>
        <v>-13.735833399999999</v>
      </c>
      <c r="V23" s="2">
        <f t="shared" si="39"/>
        <v>-13.049041729999999</v>
      </c>
      <c r="W23" s="2">
        <f t="shared" si="39"/>
        <v>-12.396589643499999</v>
      </c>
      <c r="X23" s="2">
        <f t="shared" si="39"/>
        <v>-11.776760161324999</v>
      </c>
    </row>
    <row r="24" spans="1:56" x14ac:dyDescent="0.2">
      <c r="A24" s="1" t="s">
        <v>45</v>
      </c>
      <c r="B24" s="2"/>
      <c r="C24" s="2"/>
      <c r="D24" s="2"/>
      <c r="E24" s="2"/>
      <c r="F24" s="2"/>
      <c r="G24" s="2"/>
      <c r="H24" s="2"/>
      <c r="I24" s="2"/>
      <c r="J24" s="2">
        <v>-1.1080000000000001</v>
      </c>
      <c r="K24" s="2">
        <v>-0.98699999999999999</v>
      </c>
      <c r="L24" s="2">
        <v>-0.81399999999999995</v>
      </c>
      <c r="N24" s="2"/>
      <c r="O24" s="2"/>
      <c r="P24" s="2"/>
      <c r="Q24" s="2"/>
      <c r="R24" s="2"/>
      <c r="S24" s="2"/>
      <c r="T24" s="2"/>
      <c r="U24" s="2"/>
      <c r="V24" s="2"/>
      <c r="W24" s="2"/>
      <c r="X24" s="2"/>
    </row>
    <row r="25" spans="1:56" x14ac:dyDescent="0.2">
      <c r="A25" s="1" t="s">
        <v>46</v>
      </c>
      <c r="B25" s="2">
        <f>6.754-7.683</f>
        <v>-0.92900000000000027</v>
      </c>
      <c r="C25" s="2">
        <f>19.931-22.704</f>
        <v>-2.7729999999999997</v>
      </c>
      <c r="D25" s="2">
        <v>-0.52200000000000002</v>
      </c>
      <c r="E25" s="2">
        <v>-1.2969999999999999</v>
      </c>
      <c r="F25" s="2">
        <v>-0.94099999999999995</v>
      </c>
      <c r="G25" s="2">
        <v>-0.66800000000000004</v>
      </c>
      <c r="H25" s="2">
        <v>-1.1619999999999999</v>
      </c>
      <c r="I25" s="2">
        <v>-0.85199999999999998</v>
      </c>
      <c r="J25" s="2">
        <v>0.45800000000000002</v>
      </c>
      <c r="K25" s="2">
        <v>-0.79900000000000004</v>
      </c>
      <c r="L25" s="2">
        <v>0.14199999999999999</v>
      </c>
      <c r="N25" s="2">
        <f>43.873-17.598</f>
        <v>26.274999999999999</v>
      </c>
      <c r="O25" s="2">
        <f>20.259-33.723</f>
        <v>-13.463999999999999</v>
      </c>
      <c r="P25" s="2">
        <v>-5.5220000000000002</v>
      </c>
      <c r="Q25" s="2">
        <v>-3.6240000000000001</v>
      </c>
      <c r="R25" s="2">
        <f>+Q25*0.965</f>
        <v>-3.49716</v>
      </c>
      <c r="S25" s="2">
        <f t="shared" ref="S25:X25" si="40">+R25*0.965</f>
        <v>-3.3747593999999999</v>
      </c>
      <c r="T25" s="2">
        <f t="shared" si="40"/>
        <v>-3.2566428209999998</v>
      </c>
      <c r="U25" s="2">
        <f t="shared" si="40"/>
        <v>-3.1426603222649998</v>
      </c>
      <c r="V25" s="2">
        <f t="shared" si="40"/>
        <v>-3.0326672109857249</v>
      </c>
      <c r="W25" s="2">
        <f t="shared" si="40"/>
        <v>-2.9265238586012243</v>
      </c>
      <c r="X25" s="2">
        <f t="shared" si="40"/>
        <v>-2.8240955235501812</v>
      </c>
    </row>
    <row r="26" spans="1:56" x14ac:dyDescent="0.2">
      <c r="A26" s="1" t="s">
        <v>47</v>
      </c>
      <c r="B26" s="2">
        <f t="shared" ref="B26:E26" si="41">+B21+B22+B23+B24+B25</f>
        <v>22.416000000000011</v>
      </c>
      <c r="C26" s="2">
        <f t="shared" si="41"/>
        <v>19.59800000000001</v>
      </c>
      <c r="D26" s="2">
        <f t="shared" si="41"/>
        <v>29.025999999999978</v>
      </c>
      <c r="E26" s="2">
        <f t="shared" si="41"/>
        <v>45.650999999999989</v>
      </c>
      <c r="F26" s="2">
        <f>+F21+F22+F23+F24+F25</f>
        <v>35.730000000000004</v>
      </c>
      <c r="G26" s="2">
        <f t="shared" ref="G26:K26" si="42">+G21+G22+G23+G24+G25</f>
        <v>34.994999999999983</v>
      </c>
      <c r="H26" s="2">
        <f t="shared" si="42"/>
        <v>40.210999999999991</v>
      </c>
      <c r="I26" s="2">
        <f>+I21+I22+I23+I24+I25</f>
        <v>36.542000000000002</v>
      </c>
      <c r="J26" s="2">
        <f t="shared" si="42"/>
        <v>33.841999999999992</v>
      </c>
      <c r="K26" s="2">
        <f t="shared" si="42"/>
        <v>39.796000000000006</v>
      </c>
      <c r="L26" s="2">
        <f t="shared" ref="L26" si="43">+L21+L22+L23+L24+L25</f>
        <v>60.141999999999989</v>
      </c>
      <c r="N26" s="2">
        <f t="shared" ref="N26" si="44">+N21+N22+N23+N24+N25</f>
        <v>170.38599999999997</v>
      </c>
      <c r="O26" s="2">
        <f t="shared" ref="O26" si="45">+O21+O22+O23+O24+O25</f>
        <v>85.388999999999967</v>
      </c>
      <c r="P26" s="2">
        <f t="shared" ref="P26" si="46">+P21+P22+P23+P24+P25</f>
        <v>116.68699999999998</v>
      </c>
      <c r="Q26" s="2">
        <f t="shared" ref="Q26" si="47">+Q21+Q22+Q23+Q24+Q25</f>
        <v>147.45499999999987</v>
      </c>
      <c r="R26" s="2">
        <f t="shared" ref="R26" si="48">+R21+R22+R23+R24+R25</f>
        <v>213.76720432000002</v>
      </c>
      <c r="S26" s="2">
        <f t="shared" ref="S26" si="49">+S21+S22+S23+S24+S25</f>
        <v>266.47438181719991</v>
      </c>
      <c r="T26" s="2">
        <f t="shared" ref="T26" si="50">+T21+T22+T23+T24+T25</f>
        <v>314.95407841707203</v>
      </c>
      <c r="U26" s="2">
        <f t="shared" ref="U26" si="51">+U21+U22+U23+U24+U25</f>
        <v>371.69855269672274</v>
      </c>
      <c r="V26" s="2">
        <f t="shared" ref="V26" si="52">+V21+V22+V23+V24+V25</f>
        <v>408.07829298892165</v>
      </c>
      <c r="W26" s="2">
        <f t="shared" ref="W26" si="53">+W21+W22+W23+W24+W25</f>
        <v>447.37943655448925</v>
      </c>
      <c r="X26" s="2">
        <f t="shared" ref="X26" si="54">+X21+X22+X23+X24+X25</f>
        <v>489.85723754463419</v>
      </c>
    </row>
    <row r="27" spans="1:56" x14ac:dyDescent="0.2">
      <c r="A27" s="1" t="s">
        <v>48</v>
      </c>
      <c r="B27" s="2">
        <v>7.7240000000000002</v>
      </c>
      <c r="C27" s="2">
        <v>7.899</v>
      </c>
      <c r="D27" s="2">
        <v>12.544</v>
      </c>
      <c r="E27" s="2">
        <v>20.920999999999999</v>
      </c>
      <c r="F27" s="2">
        <v>12.58</v>
      </c>
      <c r="G27" s="2">
        <v>0.95</v>
      </c>
      <c r="H27" s="2">
        <v>13.676</v>
      </c>
      <c r="I27" s="2">
        <v>6.234</v>
      </c>
      <c r="J27" s="2">
        <v>10.587</v>
      </c>
      <c r="K27" s="2">
        <v>13.247999999999999</v>
      </c>
      <c r="L27" s="2">
        <v>20.620999999999999</v>
      </c>
      <c r="N27" s="2">
        <v>67.358000000000004</v>
      </c>
      <c r="O27" s="2">
        <v>35.337000000000003</v>
      </c>
      <c r="P27" s="2">
        <v>49.088000000000001</v>
      </c>
      <c r="Q27" s="2">
        <v>33.44</v>
      </c>
      <c r="R27" s="2">
        <f>+R26*0.22</f>
        <v>47.028784950400002</v>
      </c>
      <c r="S27" s="2">
        <f t="shared" ref="S27:X27" si="55">+S26*0.22</f>
        <v>58.624363999783981</v>
      </c>
      <c r="T27" s="2">
        <f t="shared" si="55"/>
        <v>69.289897251755846</v>
      </c>
      <c r="U27" s="2">
        <f t="shared" si="55"/>
        <v>81.773681593279008</v>
      </c>
      <c r="V27" s="2">
        <f t="shared" si="55"/>
        <v>89.777224457562767</v>
      </c>
      <c r="W27" s="2">
        <f t="shared" si="55"/>
        <v>98.423476041987641</v>
      </c>
      <c r="X27" s="2">
        <f t="shared" si="55"/>
        <v>107.76859225981953</v>
      </c>
    </row>
    <row r="28" spans="1:56" x14ac:dyDescent="0.2">
      <c r="A28" s="1" t="s">
        <v>49</v>
      </c>
      <c r="B28" s="2">
        <f t="shared" ref="B28:E28" si="56">+B26-B27</f>
        <v>14.692000000000011</v>
      </c>
      <c r="C28" s="2">
        <f t="shared" si="56"/>
        <v>11.699000000000009</v>
      </c>
      <c r="D28" s="2">
        <f t="shared" si="56"/>
        <v>16.481999999999978</v>
      </c>
      <c r="E28" s="2">
        <f t="shared" si="56"/>
        <v>24.72999999999999</v>
      </c>
      <c r="F28" s="2">
        <f>+F26-F27</f>
        <v>23.150000000000006</v>
      </c>
      <c r="G28" s="2">
        <f t="shared" ref="G28:K28" si="57">+G26-G27</f>
        <v>34.04499999999998</v>
      </c>
      <c r="H28" s="2">
        <f t="shared" si="57"/>
        <v>26.534999999999989</v>
      </c>
      <c r="I28" s="2">
        <f t="shared" si="57"/>
        <v>30.308</v>
      </c>
      <c r="J28" s="2">
        <f t="shared" si="57"/>
        <v>23.254999999999992</v>
      </c>
      <c r="K28" s="2">
        <f t="shared" si="57"/>
        <v>26.548000000000009</v>
      </c>
      <c r="L28" s="2">
        <f t="shared" ref="L28" si="58">+L26-L27</f>
        <v>39.520999999999987</v>
      </c>
      <c r="N28" s="2">
        <f t="shared" ref="N28" si="59">+N26-N27</f>
        <v>103.02799999999996</v>
      </c>
      <c r="O28" s="2">
        <f t="shared" ref="O28" si="60">+O26-O27</f>
        <v>50.051999999999964</v>
      </c>
      <c r="P28" s="2">
        <f t="shared" ref="P28" si="61">+P26-P27</f>
        <v>67.59899999999999</v>
      </c>
      <c r="Q28" s="2">
        <f t="shared" ref="Q28" si="62">+Q26-Q27</f>
        <v>114.01499999999987</v>
      </c>
      <c r="R28" s="2">
        <f t="shared" ref="R28" si="63">+R26-R27</f>
        <v>166.73841936960002</v>
      </c>
      <c r="S28" s="2">
        <f t="shared" ref="S28" si="64">+S26-S27</f>
        <v>207.85001781741593</v>
      </c>
      <c r="T28" s="2">
        <f t="shared" ref="T28" si="65">+T26-T27</f>
        <v>245.66418116531617</v>
      </c>
      <c r="U28" s="2">
        <f t="shared" ref="U28" si="66">+U26-U27</f>
        <v>289.92487110344371</v>
      </c>
      <c r="V28" s="2">
        <f t="shared" ref="V28" si="67">+V26-V27</f>
        <v>318.30106853135885</v>
      </c>
      <c r="W28" s="2">
        <f t="shared" ref="W28" si="68">+W26-W27</f>
        <v>348.95596051250163</v>
      </c>
      <c r="X28" s="2">
        <f t="shared" ref="X28" si="69">+X26-X27</f>
        <v>382.08864528481467</v>
      </c>
      <c r="Y28" s="2">
        <f>+X28*(1+$AA$12)</f>
        <v>389.73041819051099</v>
      </c>
      <c r="Z28" s="2">
        <f t="shared" ref="Z28:BD28" si="70">+Y28*(1+$AA$12)</f>
        <v>397.52502655432124</v>
      </c>
      <c r="AA28" s="2">
        <f t="shared" si="70"/>
        <v>405.47552708540769</v>
      </c>
      <c r="AB28" s="2">
        <f t="shared" si="70"/>
        <v>413.58503762711587</v>
      </c>
      <c r="AC28" s="2">
        <f t="shared" si="70"/>
        <v>421.85673837965817</v>
      </c>
      <c r="AD28" s="2">
        <f t="shared" si="70"/>
        <v>430.29387314725136</v>
      </c>
      <c r="AE28" s="2">
        <f t="shared" si="70"/>
        <v>438.89975061019641</v>
      </c>
      <c r="AF28" s="2">
        <f t="shared" si="70"/>
        <v>447.67774562240032</v>
      </c>
      <c r="AG28" s="2">
        <f t="shared" si="70"/>
        <v>456.63130053484832</v>
      </c>
      <c r="AH28" s="2">
        <f t="shared" si="70"/>
        <v>465.7639265455453</v>
      </c>
      <c r="AI28" s="2">
        <f t="shared" si="70"/>
        <v>475.07920507645622</v>
      </c>
      <c r="AJ28" s="2">
        <f t="shared" si="70"/>
        <v>484.58078917798537</v>
      </c>
      <c r="AK28" s="2">
        <f t="shared" si="70"/>
        <v>494.27240496154508</v>
      </c>
      <c r="AL28" s="2">
        <f t="shared" si="70"/>
        <v>504.15785306077601</v>
      </c>
      <c r="AM28" s="2">
        <f t="shared" si="70"/>
        <v>514.24101012199151</v>
      </c>
      <c r="AN28" s="2">
        <f t="shared" si="70"/>
        <v>524.52583032443135</v>
      </c>
      <c r="AO28" s="2">
        <f t="shared" si="70"/>
        <v>535.01634693092001</v>
      </c>
      <c r="AP28" s="2">
        <f t="shared" si="70"/>
        <v>545.71667386953845</v>
      </c>
      <c r="AQ28" s="2">
        <f t="shared" si="70"/>
        <v>556.63100734692921</v>
      </c>
      <c r="AR28" s="2">
        <f t="shared" si="70"/>
        <v>567.76362749386783</v>
      </c>
      <c r="AS28" s="2">
        <f t="shared" si="70"/>
        <v>579.11890004374516</v>
      </c>
      <c r="AT28" s="2">
        <f t="shared" si="70"/>
        <v>590.70127804462004</v>
      </c>
      <c r="AU28" s="2">
        <f t="shared" si="70"/>
        <v>602.51530360551249</v>
      </c>
      <c r="AV28" s="2">
        <f t="shared" si="70"/>
        <v>614.56560967762277</v>
      </c>
      <c r="AW28" s="2">
        <f t="shared" si="70"/>
        <v>626.85692187117525</v>
      </c>
      <c r="AX28" s="2">
        <f t="shared" si="70"/>
        <v>639.3940603085988</v>
      </c>
      <c r="AY28" s="2">
        <f t="shared" si="70"/>
        <v>652.18194151477076</v>
      </c>
      <c r="AZ28" s="2">
        <f t="shared" si="70"/>
        <v>665.22558034506619</v>
      </c>
      <c r="BA28" s="2">
        <f t="shared" si="70"/>
        <v>678.53009195196751</v>
      </c>
      <c r="BB28" s="2">
        <f t="shared" si="70"/>
        <v>692.10069379100685</v>
      </c>
      <c r="BC28" s="2">
        <f t="shared" si="70"/>
        <v>705.942707666827</v>
      </c>
      <c r="BD28" s="2">
        <f t="shared" si="70"/>
        <v>720.06156182016355</v>
      </c>
    </row>
    <row r="29" spans="1:56" x14ac:dyDescent="0.2">
      <c r="A29" s="1" t="s">
        <v>50</v>
      </c>
      <c r="B29" s="2">
        <v>196.19300000000001</v>
      </c>
      <c r="C29" s="2">
        <v>186.38</v>
      </c>
      <c r="D29" s="2">
        <v>180.22800000000001</v>
      </c>
      <c r="E29" s="2">
        <v>176.73500000000001</v>
      </c>
      <c r="F29" s="2">
        <v>177.08500000000001</v>
      </c>
      <c r="G29" s="2">
        <v>174.376</v>
      </c>
      <c r="H29" s="2">
        <v>171.85499999999999</v>
      </c>
      <c r="I29" s="2">
        <v>169.125</v>
      </c>
      <c r="J29" s="2">
        <v>165.45500000000001</v>
      </c>
      <c r="K29" s="2">
        <v>162.25299999999999</v>
      </c>
      <c r="L29" s="2">
        <v>159.73699999999999</v>
      </c>
      <c r="N29" s="2">
        <v>200.06299999999999</v>
      </c>
      <c r="O29" s="2">
        <v>200.61099999999999</v>
      </c>
      <c r="P29" s="2">
        <v>185.06</v>
      </c>
      <c r="Q29" s="2">
        <v>172.98</v>
      </c>
      <c r="R29" s="2">
        <f>+Q29*0.97</f>
        <v>167.79059999999998</v>
      </c>
      <c r="S29" s="2">
        <f t="shared" ref="S29:X29" si="71">+R29*0.97</f>
        <v>162.75688199999999</v>
      </c>
      <c r="T29" s="2">
        <f t="shared" si="71"/>
        <v>157.87417553999998</v>
      </c>
      <c r="U29" s="2">
        <f t="shared" si="71"/>
        <v>153.13795027379999</v>
      </c>
      <c r="V29" s="2">
        <f t="shared" si="71"/>
        <v>148.54381176558599</v>
      </c>
      <c r="W29" s="2">
        <f t="shared" si="71"/>
        <v>144.0874974126184</v>
      </c>
      <c r="X29" s="2">
        <f t="shared" si="71"/>
        <v>139.76487249023984</v>
      </c>
    </row>
    <row r="30" spans="1:56" x14ac:dyDescent="0.2">
      <c r="A30" s="1" t="s">
        <v>51</v>
      </c>
      <c r="B30" s="3">
        <f t="shared" ref="B30:E30" si="72">+B28/B29</f>
        <v>7.4885444434816789E-2</v>
      </c>
      <c r="C30" s="3">
        <f t="shared" si="72"/>
        <v>6.2769610473226795E-2</v>
      </c>
      <c r="D30" s="3">
        <f t="shared" si="72"/>
        <v>9.1450828949996538E-2</v>
      </c>
      <c r="E30" s="3">
        <f t="shared" si="72"/>
        <v>0.13992700936430241</v>
      </c>
      <c r="F30" s="3">
        <f>+F28/F29</f>
        <v>0.13072818138182232</v>
      </c>
      <c r="G30" s="3">
        <f t="shared" ref="G30:K30" si="73">+G28/G29</f>
        <v>0.19523902371886029</v>
      </c>
      <c r="H30" s="3">
        <f t="shared" si="73"/>
        <v>0.15440342148904596</v>
      </c>
      <c r="I30" s="3">
        <f t="shared" si="73"/>
        <v>0.17920473022912048</v>
      </c>
      <c r="J30" s="3">
        <f t="shared" si="73"/>
        <v>0.14055181167084699</v>
      </c>
      <c r="K30" s="3">
        <f t="shared" si="73"/>
        <v>0.16362101162998535</v>
      </c>
      <c r="L30" s="3">
        <f t="shared" ref="L30" si="74">+L28/L29</f>
        <v>0.24741293501192577</v>
      </c>
      <c r="N30" s="3">
        <f t="shared" ref="N30" si="75">+N28/N29</f>
        <v>0.51497778199867028</v>
      </c>
      <c r="O30" s="3">
        <f t="shared" ref="O30" si="76">+O28/O29</f>
        <v>0.24949778426905786</v>
      </c>
      <c r="P30" s="3">
        <f t="shared" ref="P30" si="77">+P28/P29</f>
        <v>0.36528153031449251</v>
      </c>
      <c r="Q30" s="3">
        <f t="shared" ref="Q30" si="78">+Q28/Q29</f>
        <v>0.65912244190079705</v>
      </c>
      <c r="R30" s="3">
        <f t="shared" ref="R30" si="79">+R28/R29</f>
        <v>0.99372920395779052</v>
      </c>
      <c r="S30" s="3">
        <f t="shared" ref="S30" si="80">+S28/S29</f>
        <v>1.2770582433338575</v>
      </c>
      <c r="T30" s="3">
        <f t="shared" ref="T30" si="81">+T28/T29</f>
        <v>1.5560757820272713</v>
      </c>
      <c r="U30" s="3">
        <f t="shared" ref="U30" si="82">+U28/U29</f>
        <v>1.8932267970485319</v>
      </c>
      <c r="V30" s="3">
        <f t="shared" ref="V30" si="83">+V28/V29</f>
        <v>2.1428093486227713</v>
      </c>
      <c r="W30" s="3">
        <f t="shared" ref="W30" si="84">+W28/W29</f>
        <v>2.4218337244987223</v>
      </c>
      <c r="X30" s="3">
        <f t="shared" ref="X30" si="85">+X28/X29</f>
        <v>2.7337959708831483</v>
      </c>
      <c r="Z30" s="3">
        <f>+X30*18</f>
        <v>49.208327475896667</v>
      </c>
    </row>
    <row r="31" spans="1:56" x14ac:dyDescent="0.2">
      <c r="B31" s="3"/>
      <c r="C31" s="3"/>
      <c r="D31" s="3"/>
      <c r="E31" s="3"/>
      <c r="F31" s="3"/>
      <c r="G31" s="3"/>
      <c r="H31" s="3"/>
      <c r="I31" s="3"/>
      <c r="J31" s="3"/>
      <c r="K31" s="3"/>
      <c r="N31" s="3"/>
      <c r="O31" s="3"/>
      <c r="P31" s="3"/>
      <c r="Q31" s="3"/>
      <c r="R31" s="3"/>
      <c r="S31" s="3"/>
      <c r="T31" s="3"/>
      <c r="U31" s="3"/>
      <c r="V31" s="3"/>
      <c r="W31" s="3"/>
      <c r="X31" s="3"/>
      <c r="Z31" s="3"/>
    </row>
    <row r="32" spans="1:56" x14ac:dyDescent="0.2">
      <c r="A32" s="1" t="s">
        <v>19</v>
      </c>
      <c r="L32" s="5">
        <f>+L2/H2-1</f>
        <v>3.1347962382445083E-2</v>
      </c>
      <c r="O32" s="6">
        <f t="shared" ref="O32:P32" si="86">+O2/N2-1</f>
        <v>4.6752032855005066E-2</v>
      </c>
      <c r="P32" s="6">
        <f t="shared" si="86"/>
        <v>8.0900264416236878E-2</v>
      </c>
      <c r="Q32" s="6">
        <f>+Q2/P2-1</f>
        <v>8.0033130441482303E-2</v>
      </c>
      <c r="R32" s="6">
        <f t="shared" ref="R32:X32" si="87">+R2/Q2-1</f>
        <v>6.0000000000000053E-2</v>
      </c>
      <c r="S32" s="6">
        <f t="shared" si="87"/>
        <v>6.0000000000000053E-2</v>
      </c>
      <c r="T32" s="6">
        <f t="shared" si="87"/>
        <v>6.0000000000000053E-2</v>
      </c>
      <c r="U32" s="6">
        <f t="shared" si="87"/>
        <v>6.0000000000000053E-2</v>
      </c>
      <c r="V32" s="6">
        <f t="shared" si="87"/>
        <v>6.0000000000000053E-2</v>
      </c>
      <c r="W32" s="6">
        <f t="shared" si="87"/>
        <v>6.0000000000000053E-2</v>
      </c>
      <c r="X32" s="6">
        <f t="shared" si="87"/>
        <v>6.0000000000000053E-2</v>
      </c>
    </row>
    <row r="33" spans="1:24" x14ac:dyDescent="0.2">
      <c r="A33" s="1" t="s">
        <v>20</v>
      </c>
      <c r="L33" s="5">
        <f t="shared" ref="L33" si="88">+L3/H3-1</f>
        <v>0.21639344262295079</v>
      </c>
      <c r="O33" s="6">
        <f t="shared" ref="O33:Q33" si="89">+O3/N3-1</f>
        <v>0.61376852372913127</v>
      </c>
      <c r="P33" s="6">
        <f t="shared" si="89"/>
        <v>0.43309020109264207</v>
      </c>
      <c r="Q33" s="6">
        <f t="shared" si="89"/>
        <v>0.23745070008415214</v>
      </c>
      <c r="R33" s="6">
        <f t="shared" ref="R33:X33" si="90">+R3/Q3-1</f>
        <v>0.39999999999999991</v>
      </c>
      <c r="S33" s="6">
        <f t="shared" si="90"/>
        <v>0.19999999999999996</v>
      </c>
      <c r="T33" s="6">
        <f t="shared" si="90"/>
        <v>0.19999999999999996</v>
      </c>
      <c r="U33" s="6">
        <f t="shared" si="90"/>
        <v>0.15000000000000013</v>
      </c>
      <c r="V33" s="6">
        <f t="shared" si="90"/>
        <v>0.10000000000000009</v>
      </c>
      <c r="W33" s="6">
        <f t="shared" si="90"/>
        <v>0.10000000000000009</v>
      </c>
      <c r="X33" s="6">
        <f t="shared" si="90"/>
        <v>0.10000000000000009</v>
      </c>
    </row>
    <row r="34" spans="1:24" x14ac:dyDescent="0.2">
      <c r="A34" s="1" t="s">
        <v>21</v>
      </c>
      <c r="O34" s="6">
        <f t="shared" ref="O34:P34" si="91">+O5/N5-1</f>
        <v>0.18978685612788637</v>
      </c>
      <c r="P34" s="6">
        <f t="shared" si="91"/>
        <v>0.17842054191236834</v>
      </c>
      <c r="Q34" s="6">
        <f>+Q5/P5-1</f>
        <v>0.11445909053479708</v>
      </c>
    </row>
    <row r="35" spans="1:24" x14ac:dyDescent="0.2">
      <c r="A35" s="1" t="s">
        <v>22</v>
      </c>
      <c r="O35" s="6">
        <f t="shared" ref="O35:Q38" si="92">+O6/N6-1</f>
        <v>4.7870491671791138E-2</v>
      </c>
      <c r="P35" s="6">
        <f t="shared" si="92"/>
        <v>0.1355454348297549</v>
      </c>
      <c r="Q35" s="6">
        <f t="shared" si="92"/>
        <v>0.14169999550622392</v>
      </c>
    </row>
    <row r="36" spans="1:24" x14ac:dyDescent="0.2">
      <c r="A36" s="1" t="s">
        <v>23</v>
      </c>
      <c r="O36" s="6">
        <f t="shared" si="92"/>
        <v>0.1543600834170078</v>
      </c>
      <c r="P36" s="6">
        <f t="shared" si="92"/>
        <v>0.10829346626074754</v>
      </c>
      <c r="Q36" s="6">
        <f t="shared" si="92"/>
        <v>7.1027529582226467E-2</v>
      </c>
    </row>
    <row r="37" spans="1:24" x14ac:dyDescent="0.2">
      <c r="A37" s="1" t="s">
        <v>24</v>
      </c>
      <c r="O37" s="6">
        <f t="shared" si="92"/>
        <v>0.12438552663389468</v>
      </c>
      <c r="P37" s="6">
        <f t="shared" si="92"/>
        <v>0.11585737323060386</v>
      </c>
      <c r="Q37" s="6">
        <f t="shared" si="92"/>
        <v>9.1817072387436527E-2</v>
      </c>
    </row>
    <row r="38" spans="1:24" x14ac:dyDescent="0.2">
      <c r="A38" s="1" t="s">
        <v>25</v>
      </c>
      <c r="O38" s="6">
        <f t="shared" si="92"/>
        <v>6.1835619965424637E-2</v>
      </c>
      <c r="P38" s="6">
        <f t="shared" si="92"/>
        <v>0.10296390915585962</v>
      </c>
      <c r="Q38" s="6">
        <f t="shared" si="92"/>
        <v>9.7823526640599345E-2</v>
      </c>
    </row>
    <row r="39" spans="1:24" x14ac:dyDescent="0.2">
      <c r="A39" s="4" t="s">
        <v>52</v>
      </c>
      <c r="B39" s="4"/>
      <c r="C39" s="4"/>
      <c r="D39" s="4"/>
      <c r="E39" s="4"/>
      <c r="F39" s="19">
        <f t="shared" ref="F39:K39" si="93">+F11/B11-1</f>
        <v>0.12502416464675004</v>
      </c>
      <c r="G39" s="19">
        <f t="shared" si="93"/>
        <v>0.12123592563498287</v>
      </c>
      <c r="H39" s="19">
        <f t="shared" si="93"/>
        <v>0.10258734918753065</v>
      </c>
      <c r="I39" s="19">
        <f t="shared" si="93"/>
        <v>8.3763545881586854E-2</v>
      </c>
      <c r="J39" s="19">
        <f t="shared" si="93"/>
        <v>6.8370024255001383E-2</v>
      </c>
      <c r="K39" s="19">
        <f t="shared" si="93"/>
        <v>6.4637500648710544E-2</v>
      </c>
      <c r="L39" s="19">
        <f t="shared" ref="L39" si="94">+L11/H11-1</f>
        <v>6.7046173308032753E-2</v>
      </c>
      <c r="M39" s="4"/>
      <c r="N39" s="19"/>
      <c r="O39" s="19">
        <f t="shared" ref="O39:X39" si="95">+O11/N11-1</f>
        <v>9.9827924515049959E-2</v>
      </c>
      <c r="P39" s="19">
        <f t="shared" si="95"/>
        <v>0.12927038078455877</v>
      </c>
      <c r="Q39" s="19">
        <f t="shared" si="95"/>
        <v>0.10747092108844014</v>
      </c>
      <c r="R39" s="19">
        <f t="shared" si="95"/>
        <v>0.12621849114951766</v>
      </c>
      <c r="S39" s="19">
        <f t="shared" si="95"/>
        <v>9.3893989297703984E-2</v>
      </c>
      <c r="T39" s="19">
        <f t="shared" si="95"/>
        <v>9.7181653391621214E-2</v>
      </c>
      <c r="U39" s="19">
        <f t="shared" si="95"/>
        <v>8.6142425614377904E-2</v>
      </c>
      <c r="V39" s="19">
        <f t="shared" si="95"/>
        <v>7.2301963248831091E-2</v>
      </c>
      <c r="W39" s="19">
        <f t="shared" si="95"/>
        <v>7.2619728432385511E-2</v>
      </c>
      <c r="X39" s="19">
        <f t="shared" si="95"/>
        <v>7.294186644871048E-2</v>
      </c>
    </row>
    <row r="40" spans="1:24" x14ac:dyDescent="0.2">
      <c r="A40" s="1" t="s">
        <v>53</v>
      </c>
      <c r="F40" s="6">
        <f>+F14/F$11</f>
        <v>0.12490995248134611</v>
      </c>
      <c r="G40" s="6">
        <f t="shared" ref="G40:K40" si="96">+G14/G$11</f>
        <v>0.12912579791374748</v>
      </c>
      <c r="H40" s="6">
        <f t="shared" si="96"/>
        <v>0.12385199240986718</v>
      </c>
      <c r="I40" s="6">
        <f t="shared" si="96"/>
        <v>0.13335458636291181</v>
      </c>
      <c r="J40" s="6">
        <f t="shared" si="96"/>
        <v>0.12212503247677138</v>
      </c>
      <c r="K40" s="6">
        <f t="shared" si="96"/>
        <v>0.11545492212825074</v>
      </c>
      <c r="L40" s="6">
        <f t="shared" ref="L40" si="97">+L14/L$11</f>
        <v>0.12605809128630704</v>
      </c>
      <c r="N40" s="6"/>
      <c r="O40" s="6">
        <f t="shared" ref="O40:P40" si="98">+O14/O$11</f>
        <v>0.12400193974420123</v>
      </c>
      <c r="P40" s="6">
        <f t="shared" si="98"/>
        <v>0.12288601349417007</v>
      </c>
      <c r="Q40" s="6">
        <f>+Q14/Q$11</f>
        <v>0.12787522997850609</v>
      </c>
      <c r="R40" s="6">
        <f t="shared" ref="R40:X40" si="99">+R14/R$11</f>
        <v>0.127</v>
      </c>
      <c r="S40" s="6">
        <f t="shared" si="99"/>
        <v>0.127</v>
      </c>
      <c r="T40" s="6">
        <f t="shared" si="99"/>
        <v>0.127</v>
      </c>
      <c r="U40" s="6">
        <f t="shared" si="99"/>
        <v>0.127</v>
      </c>
      <c r="V40" s="6">
        <f t="shared" si="99"/>
        <v>0.127</v>
      </c>
      <c r="W40" s="6">
        <f t="shared" si="99"/>
        <v>0.127</v>
      </c>
      <c r="X40" s="6">
        <f t="shared" si="99"/>
        <v>0.127</v>
      </c>
    </row>
    <row r="41" spans="1:24" x14ac:dyDescent="0.2">
      <c r="A41" s="1" t="s">
        <v>54</v>
      </c>
      <c r="F41" s="6">
        <f t="shared" ref="F41:K41" si="100">+F15/F$11</f>
        <v>0.21865189777210875</v>
      </c>
      <c r="G41" s="6">
        <f t="shared" si="100"/>
        <v>0.22860553220198249</v>
      </c>
      <c r="H41" s="6">
        <f t="shared" si="100"/>
        <v>0.210853889943074</v>
      </c>
      <c r="I41" s="6">
        <f t="shared" si="100"/>
        <v>0.22707431612246651</v>
      </c>
      <c r="J41" s="6">
        <f t="shared" si="100"/>
        <v>0.21963576527645468</v>
      </c>
      <c r="K41" s="6">
        <f t="shared" si="100"/>
        <v>0.20965049111603984</v>
      </c>
      <c r="L41" s="6">
        <f t="shared" ref="L41" si="101">+L15/L$11</f>
        <v>0.13612922347362183</v>
      </c>
      <c r="N41" s="6"/>
      <c r="O41" s="6">
        <f t="shared" ref="O41:X41" si="102">+O15/O$11</f>
        <v>0.19171936770725029</v>
      </c>
      <c r="P41" s="6">
        <f t="shared" si="102"/>
        <v>0.22691977365986063</v>
      </c>
      <c r="Q41" s="6">
        <f t="shared" si="102"/>
        <v>0.22132030401044223</v>
      </c>
      <c r="R41" s="6">
        <f t="shared" si="102"/>
        <v>0.16500000000000001</v>
      </c>
      <c r="S41" s="6">
        <f t="shared" si="102"/>
        <v>0.14000000000000001</v>
      </c>
      <c r="T41" s="6">
        <f t="shared" si="102"/>
        <v>0.13</v>
      </c>
      <c r="U41" s="6">
        <f t="shared" si="102"/>
        <v>0.111</v>
      </c>
      <c r="V41" s="6">
        <f t="shared" si="102"/>
        <v>0.111</v>
      </c>
      <c r="W41" s="6">
        <f t="shared" si="102"/>
        <v>0.111</v>
      </c>
      <c r="X41" s="6">
        <f t="shared" si="102"/>
        <v>0.111</v>
      </c>
    </row>
    <row r="42" spans="1:24" x14ac:dyDescent="0.2">
      <c r="A42" s="1" t="s">
        <v>55</v>
      </c>
      <c r="F42" s="6">
        <f t="shared" ref="F42:K42" si="103">+F16/F$11</f>
        <v>0.18431818332022551</v>
      </c>
      <c r="G42" s="6">
        <f>+G16/G$11</f>
        <v>0.17369219990658571</v>
      </c>
      <c r="H42" s="6">
        <f t="shared" si="103"/>
        <v>0.14855154965211892</v>
      </c>
      <c r="I42" s="6">
        <f t="shared" si="103"/>
        <v>0.17496965312603455</v>
      </c>
      <c r="J42" s="6">
        <f t="shared" si="103"/>
        <v>0.17481163472601977</v>
      </c>
      <c r="K42" s="6">
        <f t="shared" si="103"/>
        <v>0.16924614297204416</v>
      </c>
      <c r="L42" s="6">
        <f t="shared" ref="L42" si="104">+L16/L$11</f>
        <v>0.17085358624777713</v>
      </c>
      <c r="N42" s="6"/>
      <c r="O42" s="6">
        <f t="shared" ref="O42:X42" si="105">+O16/O$11</f>
        <v>0.1779396005164669</v>
      </c>
      <c r="P42" s="6">
        <f t="shared" si="105"/>
        <v>0.17504073344949583</v>
      </c>
      <c r="Q42" s="6">
        <f t="shared" si="105"/>
        <v>0.17024552848382532</v>
      </c>
      <c r="R42" s="6">
        <f t="shared" si="105"/>
        <v>0.15721225589402288</v>
      </c>
      <c r="S42" s="6">
        <f t="shared" si="105"/>
        <v>0.14946671956279209</v>
      </c>
      <c r="T42" s="6">
        <f t="shared" si="105"/>
        <v>0.14167698472243781</v>
      </c>
      <c r="U42" s="6">
        <f t="shared" si="105"/>
        <v>0.1356581426491926</v>
      </c>
      <c r="V42" s="6">
        <f t="shared" si="105"/>
        <v>0.13157158448885653</v>
      </c>
      <c r="W42" s="6">
        <f t="shared" si="105"/>
        <v>0.12757032547629146</v>
      </c>
      <c r="X42" s="6">
        <f t="shared" si="105"/>
        <v>0.12365361315843972</v>
      </c>
    </row>
    <row r="43" spans="1:24" x14ac:dyDescent="0.2">
      <c r="A43" s="1" t="s">
        <v>56</v>
      </c>
      <c r="F43" s="6">
        <f t="shared" ref="F43:K43" si="106">+F17/F$11</f>
        <v>8.2129946004533771E-2</v>
      </c>
      <c r="G43" s="6">
        <f t="shared" si="106"/>
        <v>7.5406092687736792E-2</v>
      </c>
      <c r="H43" s="6">
        <f t="shared" si="106"/>
        <v>6.6223908918406085E-2</v>
      </c>
      <c r="I43" s="6">
        <f t="shared" si="106"/>
        <v>9.1108059394043428E-2</v>
      </c>
      <c r="J43" s="6">
        <f t="shared" si="106"/>
        <v>6.9518848899501398E-2</v>
      </c>
      <c r="K43" s="6">
        <f t="shared" si="106"/>
        <v>6.1224987204172653E-2</v>
      </c>
      <c r="L43" s="6">
        <f t="shared" ref="L43" si="107">+L17/L$11</f>
        <v>7.7818612922347374E-2</v>
      </c>
      <c r="N43" s="6"/>
      <c r="O43" s="6">
        <f t="shared" ref="O43:X43" si="108">+O17/O$11</f>
        <v>0.10283837261049257</v>
      </c>
      <c r="P43" s="6">
        <f t="shared" si="108"/>
        <v>9.4499835652459729E-2</v>
      </c>
      <c r="Q43" s="6">
        <f t="shared" si="108"/>
        <v>7.8796659906269301E-2</v>
      </c>
      <c r="R43" s="6">
        <f t="shared" si="108"/>
        <v>6.8566381492569564E-2</v>
      </c>
      <c r="S43" s="6">
        <f t="shared" si="108"/>
        <v>6.3934631515181833E-2</v>
      </c>
      <c r="T43" s="6">
        <f t="shared" si="108"/>
        <v>5.9437125970797318E-2</v>
      </c>
      <c r="U43" s="6">
        <f t="shared" si="108"/>
        <v>5.5817604634972401E-2</v>
      </c>
      <c r="V43" s="6">
        <f t="shared" si="108"/>
        <v>5.3095078325861592E-2</v>
      </c>
      <c r="W43" s="6">
        <f t="shared" si="108"/>
        <v>5.0490382058819935E-2</v>
      </c>
      <c r="X43" s="6">
        <f t="shared" si="108"/>
        <v>4.7999049445665548E-2</v>
      </c>
    </row>
    <row r="45" spans="1:24" x14ac:dyDescent="0.2">
      <c r="A45" s="1" t="s">
        <v>57</v>
      </c>
      <c r="B45" s="6">
        <f t="shared" ref="B45:K45" si="109">+B13/B11</f>
        <v>0.86468541347569405</v>
      </c>
      <c r="C45" s="6">
        <f t="shared" si="109"/>
        <v>0.87301067760612139</v>
      </c>
      <c r="D45" s="6">
        <f t="shared" si="109"/>
        <v>0.82743566496966314</v>
      </c>
      <c r="E45" s="6">
        <f t="shared" si="109"/>
        <v>0.86116260373271669</v>
      </c>
      <c r="F45" s="6">
        <f t="shared" si="109"/>
        <v>0.87121717809251276</v>
      </c>
      <c r="G45" s="6">
        <f t="shared" si="109"/>
        <v>0.87451995433079044</v>
      </c>
      <c r="H45" s="6">
        <f t="shared" si="109"/>
        <v>0.86874762808349137</v>
      </c>
      <c r="I45" s="6">
        <f t="shared" si="109"/>
        <v>0.8641257034957146</v>
      </c>
      <c r="J45" s="6">
        <f t="shared" si="109"/>
        <v>0.86336249025696865</v>
      </c>
      <c r="K45" s="6">
        <f t="shared" si="109"/>
        <v>0.85735699139632948</v>
      </c>
      <c r="L45" s="6">
        <f t="shared" ref="L45" si="110">+L13/L11</f>
        <v>0.89690574985180793</v>
      </c>
      <c r="N45" s="6">
        <f t="shared" ref="N45:X45" si="111">+N13/N11</f>
        <v>0.85930634264969896</v>
      </c>
      <c r="O45" s="6">
        <f t="shared" si="111"/>
        <v>0.85842262077003051</v>
      </c>
      <c r="P45" s="6">
        <f t="shared" si="111"/>
        <v>0.85633197496262414</v>
      </c>
      <c r="Q45" s="6">
        <f t="shared" si="111"/>
        <v>0.869563691081222</v>
      </c>
      <c r="R45" s="6">
        <f t="shared" si="111"/>
        <v>0.86</v>
      </c>
      <c r="S45" s="6">
        <f t="shared" si="111"/>
        <v>0.86</v>
      </c>
      <c r="T45" s="6">
        <f t="shared" si="111"/>
        <v>0.85999999999999988</v>
      </c>
      <c r="U45" s="6">
        <f t="shared" si="111"/>
        <v>0.86</v>
      </c>
      <c r="V45" s="6">
        <f t="shared" si="111"/>
        <v>0.85999999999999988</v>
      </c>
      <c r="W45" s="6">
        <f t="shared" si="111"/>
        <v>0.86</v>
      </c>
      <c r="X45" s="6">
        <f t="shared" si="111"/>
        <v>0.86</v>
      </c>
    </row>
    <row r="46" spans="1:24" x14ac:dyDescent="0.2">
      <c r="A46" s="1" t="s">
        <v>58</v>
      </c>
      <c r="B46" s="6">
        <f t="shared" ref="B46:K46" si="112">+B21/B11</f>
        <v>0.20880485374812269</v>
      </c>
      <c r="C46" s="6">
        <f t="shared" si="112"/>
        <v>0.24575223298711127</v>
      </c>
      <c r="D46" s="6">
        <f t="shared" si="112"/>
        <v>0.22574098612176569</v>
      </c>
      <c r="E46" s="6">
        <f t="shared" si="112"/>
        <v>0.32880198263203697</v>
      </c>
      <c r="F46" s="6">
        <f t="shared" si="112"/>
        <v>0.26696363071595214</v>
      </c>
      <c r="G46" s="6">
        <f t="shared" si="112"/>
        <v>0.25536483470859922</v>
      </c>
      <c r="H46" s="6">
        <f t="shared" si="112"/>
        <v>0.2863946869070208</v>
      </c>
      <c r="I46" s="6">
        <f t="shared" si="112"/>
        <v>0.25471142881665582</v>
      </c>
      <c r="J46" s="6">
        <f t="shared" si="112"/>
        <v>0.23959196803048483</v>
      </c>
      <c r="K46" s="6">
        <f t="shared" si="112"/>
        <v>0.27988130346827861</v>
      </c>
      <c r="L46" s="6">
        <f t="shared" ref="L46" si="113">+L21/L11</f>
        <v>0.38560758743331358</v>
      </c>
      <c r="N46" s="6">
        <f t="shared" ref="N46:X46" si="114">+N21/N11</f>
        <v>0.3600525883752474</v>
      </c>
      <c r="O46" s="6">
        <f t="shared" si="114"/>
        <v>0.23433387148595974</v>
      </c>
      <c r="P46" s="6">
        <f t="shared" si="114"/>
        <v>0.25398586964589287</v>
      </c>
      <c r="Q46" s="6">
        <f t="shared" si="114"/>
        <v>0.26578095355112324</v>
      </c>
      <c r="R46" s="6">
        <f t="shared" si="114"/>
        <v>0.33053115061030869</v>
      </c>
      <c r="S46" s="6">
        <f t="shared" si="114"/>
        <v>0.36923246558621114</v>
      </c>
      <c r="T46" s="6">
        <f t="shared" si="114"/>
        <v>0.39272131951592149</v>
      </c>
      <c r="U46" s="6">
        <f t="shared" si="114"/>
        <v>0.42233966063336509</v>
      </c>
      <c r="V46" s="6">
        <f t="shared" si="114"/>
        <v>0.42992958843531021</v>
      </c>
      <c r="W46" s="6">
        <f t="shared" si="114"/>
        <v>0.43724387553649735</v>
      </c>
      <c r="X46" s="6">
        <f t="shared" si="114"/>
        <v>0.44429430262893627</v>
      </c>
    </row>
    <row r="47" spans="1:24" x14ac:dyDescent="0.2">
      <c r="A47" s="1" t="s">
        <v>59</v>
      </c>
      <c r="B47" s="6">
        <f t="shared" ref="B47:K47" si="115">+B28/B11</f>
        <v>0.10923907386203111</v>
      </c>
      <c r="C47" s="6">
        <f t="shared" si="115"/>
        <v>8.5093538157167442E-2</v>
      </c>
      <c r="D47" s="6">
        <f t="shared" si="115"/>
        <v>0.11494525420182704</v>
      </c>
      <c r="E47" s="6">
        <f t="shared" si="115"/>
        <v>0.16431129449128604</v>
      </c>
      <c r="F47" s="6">
        <f t="shared" si="115"/>
        <v>0.15299816930916207</v>
      </c>
      <c r="G47" s="6">
        <f t="shared" si="115"/>
        <v>0.22085344335461093</v>
      </c>
      <c r="H47" s="6">
        <f t="shared" si="115"/>
        <v>0.16783681214421245</v>
      </c>
      <c r="I47" s="6">
        <f t="shared" si="115"/>
        <v>0.1858086982110671</v>
      </c>
      <c r="J47" s="6">
        <f t="shared" si="115"/>
        <v>0.14385663206601751</v>
      </c>
      <c r="K47" s="6">
        <f t="shared" si="115"/>
        <v>0.16176363060274443</v>
      </c>
      <c r="L47" s="6">
        <f t="shared" ref="L47" si="116">+L28/L11</f>
        <v>0.23426793123888554</v>
      </c>
      <c r="N47" s="6">
        <f t="shared" ref="N47:X47" si="117">+N28/N11</f>
        <v>0.22613001356411341</v>
      </c>
      <c r="O47" s="6">
        <f t="shared" si="117"/>
        <v>9.9884852633322418E-2</v>
      </c>
      <c r="P47" s="6">
        <f t="shared" si="117"/>
        <v>0.11945945563853436</v>
      </c>
      <c r="Q47" s="6">
        <f t="shared" si="117"/>
        <v>0.18193234602809349</v>
      </c>
      <c r="R47" s="6">
        <f t="shared" si="117"/>
        <v>0.23624409107121772</v>
      </c>
      <c r="S47" s="6">
        <f t="shared" si="117"/>
        <v>0.26921552727489134</v>
      </c>
      <c r="T47" s="6">
        <f t="shared" si="117"/>
        <v>0.29001024544200699</v>
      </c>
      <c r="U47" s="6">
        <f t="shared" si="117"/>
        <v>0.31511581242236031</v>
      </c>
      <c r="V47" s="6">
        <f t="shared" si="117"/>
        <v>0.3226307213541097</v>
      </c>
      <c r="W47" s="6">
        <f t="shared" si="117"/>
        <v>0.32975581515032948</v>
      </c>
      <c r="X47" s="6">
        <f t="shared" si="117"/>
        <v>0.33651914891970508</v>
      </c>
    </row>
    <row r="49" spans="1:24" x14ac:dyDescent="0.2">
      <c r="A49" s="1" t="s">
        <v>60</v>
      </c>
      <c r="B49" s="2"/>
      <c r="C49" s="2">
        <v>36.61</v>
      </c>
      <c r="D49" s="2">
        <v>57.975000000000001</v>
      </c>
      <c r="E49" s="2">
        <v>80.572999999999993</v>
      </c>
      <c r="F49" s="2">
        <v>58.978999999999999</v>
      </c>
      <c r="G49" s="2">
        <v>52.551000000000002</v>
      </c>
      <c r="H49" s="2">
        <v>54.466999999999999</v>
      </c>
      <c r="I49" s="2">
        <v>63.869</v>
      </c>
      <c r="J49" s="2">
        <v>49.531999999999996</v>
      </c>
      <c r="K49" s="2">
        <v>69.590999999999994</v>
      </c>
      <c r="L49" s="20">
        <v>47.95</v>
      </c>
      <c r="N49" s="2">
        <v>224.536</v>
      </c>
      <c r="O49" s="2">
        <v>193.97300000000001</v>
      </c>
      <c r="P49" s="2">
        <v>204.34299999999999</v>
      </c>
      <c r="Q49" s="2">
        <v>229.86500000000001</v>
      </c>
      <c r="R49" s="2"/>
      <c r="S49" s="2"/>
      <c r="T49" s="2"/>
      <c r="U49" s="2"/>
      <c r="V49" s="2"/>
      <c r="W49" s="2"/>
      <c r="X49" s="2"/>
    </row>
    <row r="50" spans="1:24" x14ac:dyDescent="0.2">
      <c r="A50" s="1" t="s">
        <v>61</v>
      </c>
      <c r="B50" s="2"/>
      <c r="C50" s="2">
        <v>2.3570000000000002</v>
      </c>
      <c r="D50" s="2">
        <v>3.1589999999999998</v>
      </c>
      <c r="E50" s="2">
        <v>2.012</v>
      </c>
      <c r="F50" s="2">
        <v>1.1080000000000001</v>
      </c>
      <c r="G50" s="2">
        <v>1.76</v>
      </c>
      <c r="H50" s="2">
        <v>1.714</v>
      </c>
      <c r="I50" s="2">
        <v>1.0249999999999999</v>
      </c>
      <c r="J50" s="2">
        <v>1.8720000000000001</v>
      </c>
      <c r="K50" s="2">
        <v>1.103</v>
      </c>
      <c r="L50" s="20">
        <v>1.2549999999999999</v>
      </c>
      <c r="N50" s="2">
        <v>26.145</v>
      </c>
      <c r="O50" s="2">
        <v>15.231</v>
      </c>
      <c r="P50" s="2">
        <v>8.8450000000000006</v>
      </c>
      <c r="Q50" s="2">
        <v>5.6070000000000002</v>
      </c>
      <c r="R50" s="2"/>
      <c r="S50" s="2"/>
      <c r="T50" s="2"/>
      <c r="U50" s="2"/>
      <c r="V50" s="2"/>
      <c r="W50" s="2"/>
      <c r="X50" s="2"/>
    </row>
    <row r="51" spans="1:24" x14ac:dyDescent="0.2">
      <c r="A51" s="1" t="s">
        <v>62</v>
      </c>
      <c r="B51" s="2"/>
      <c r="C51" s="2">
        <v>9.3119999999999994</v>
      </c>
      <c r="D51" s="2">
        <v>5.2960000000000003</v>
      </c>
      <c r="E51" s="2">
        <v>7.7670000000000003</v>
      </c>
      <c r="F51" s="2">
        <v>8.5259999999999998</v>
      </c>
      <c r="G51" s="2">
        <v>6.8730000000000002</v>
      </c>
      <c r="H51" s="2">
        <v>-1.1120000000000001</v>
      </c>
      <c r="I51" s="2">
        <v>7.5540000000000003</v>
      </c>
      <c r="J51" s="2">
        <v>5.7869999999999999</v>
      </c>
      <c r="K51" s="2">
        <v>4.827</v>
      </c>
      <c r="L51" s="20">
        <v>5.12</v>
      </c>
      <c r="N51" s="2">
        <v>47.308</v>
      </c>
      <c r="O51" s="2">
        <v>27.59</v>
      </c>
      <c r="P51" s="2">
        <v>27.632000000000001</v>
      </c>
      <c r="Q51" s="2">
        <v>21.841999999999999</v>
      </c>
      <c r="R51" s="2"/>
      <c r="S51" s="2"/>
      <c r="T51" s="2"/>
      <c r="U51" s="2"/>
      <c r="V51" s="2"/>
      <c r="W51" s="2"/>
      <c r="X51" s="2"/>
    </row>
    <row r="52" spans="1:24" x14ac:dyDescent="0.2">
      <c r="A52" s="4" t="s">
        <v>63</v>
      </c>
      <c r="B52" s="7">
        <f t="shared" ref="B52:I52" si="118">+B49-B50</f>
        <v>0</v>
      </c>
      <c r="C52" s="7">
        <f t="shared" si="118"/>
        <v>34.253</v>
      </c>
      <c r="D52" s="7">
        <f t="shared" si="118"/>
        <v>54.816000000000003</v>
      </c>
      <c r="E52" s="7">
        <f t="shared" si="118"/>
        <v>78.560999999999993</v>
      </c>
      <c r="F52" s="7">
        <f t="shared" si="118"/>
        <v>57.871000000000002</v>
      </c>
      <c r="G52" s="7">
        <f t="shared" si="118"/>
        <v>50.791000000000004</v>
      </c>
      <c r="H52" s="7">
        <f t="shared" si="118"/>
        <v>52.753</v>
      </c>
      <c r="I52" s="7">
        <f t="shared" si="118"/>
        <v>62.844000000000001</v>
      </c>
      <c r="J52" s="7">
        <f>+J49-J50</f>
        <v>47.66</v>
      </c>
      <c r="K52" s="7">
        <f t="shared" ref="K52:L52" si="119">+K49-K50</f>
        <v>68.488</v>
      </c>
      <c r="L52" s="7">
        <f t="shared" si="119"/>
        <v>46.695</v>
      </c>
      <c r="N52" s="7">
        <f t="shared" ref="N52:Q52" si="120">+N49-N50</f>
        <v>198.39099999999999</v>
      </c>
      <c r="O52" s="7">
        <f t="shared" si="120"/>
        <v>178.74200000000002</v>
      </c>
      <c r="P52" s="7">
        <f t="shared" si="120"/>
        <v>195.49799999999999</v>
      </c>
      <c r="Q52" s="7">
        <f t="shared" si="120"/>
        <v>224.25800000000001</v>
      </c>
      <c r="R52" s="7">
        <f>+Q52*1.1</f>
        <v>246.68380000000002</v>
      </c>
      <c r="S52" s="7">
        <f t="shared" ref="S52:X52" si="121">+R52*1.1</f>
        <v>271.35218000000003</v>
      </c>
      <c r="T52" s="7">
        <f t="shared" si="121"/>
        <v>298.48739800000004</v>
      </c>
      <c r="U52" s="7">
        <f t="shared" si="121"/>
        <v>328.33613780000007</v>
      </c>
      <c r="V52" s="7">
        <f t="shared" si="121"/>
        <v>361.16975158000014</v>
      </c>
      <c r="W52" s="7">
        <f t="shared" si="121"/>
        <v>397.2867267380002</v>
      </c>
      <c r="X52" s="7">
        <f t="shared" si="121"/>
        <v>437.01539941180027</v>
      </c>
    </row>
    <row r="53" spans="1:24" x14ac:dyDescent="0.2">
      <c r="A53" s="1" t="s">
        <v>64</v>
      </c>
      <c r="F53" s="2">
        <f t="shared" ref="F53" si="122">+SUM(C52:F52)</f>
        <v>225.501</v>
      </c>
      <c r="G53" s="2">
        <f t="shared" ref="G53:J53" si="123">+SUM(D52:G52)</f>
        <v>242.03900000000002</v>
      </c>
      <c r="H53" s="2">
        <f t="shared" si="123"/>
        <v>239.976</v>
      </c>
      <c r="I53" s="2">
        <f t="shared" si="123"/>
        <v>224.25900000000001</v>
      </c>
      <c r="J53" s="2">
        <f t="shared" si="123"/>
        <v>214.048</v>
      </c>
      <c r="K53" s="2">
        <f>+SUM(H52:K52)</f>
        <v>231.745</v>
      </c>
      <c r="L53" s="2">
        <f t="shared" ref="L53" si="124">+SUM(I52:L52)</f>
        <v>225.68699999999998</v>
      </c>
      <c r="O53" s="6"/>
      <c r="P53" s="6"/>
      <c r="Q53" s="6"/>
    </row>
    <row r="54" spans="1:24" x14ac:dyDescent="0.2">
      <c r="Q54" s="6"/>
      <c r="X54" s="18"/>
    </row>
    <row r="55" spans="1:24" x14ac:dyDescent="0.2">
      <c r="A55" s="1" t="s">
        <v>65</v>
      </c>
      <c r="B55" s="2">
        <v>148.857</v>
      </c>
      <c r="C55" s="2">
        <v>82.301000000000002</v>
      </c>
      <c r="D55" s="2">
        <v>68.930000000000007</v>
      </c>
      <c r="E55" s="2">
        <f>+P55-D55-C55-B55</f>
        <v>0</v>
      </c>
      <c r="F55" s="2">
        <v>25.584</v>
      </c>
      <c r="G55" s="2">
        <v>51.853000000000002</v>
      </c>
      <c r="H55" s="2">
        <v>37.774000000000001</v>
      </c>
      <c r="I55" s="2">
        <v>46.691000000000003</v>
      </c>
      <c r="J55" s="2">
        <v>67.697000000000003</v>
      </c>
      <c r="K55" s="2">
        <v>26.609000000000002</v>
      </c>
      <c r="N55" s="2"/>
      <c r="O55" s="2"/>
      <c r="P55" s="2">
        <v>300.08800000000002</v>
      </c>
      <c r="Q55" s="2">
        <v>161.90199999999999</v>
      </c>
      <c r="R55" s="2"/>
    </row>
    <row r="56" spans="1:24" x14ac:dyDescent="0.2">
      <c r="N56" s="2"/>
      <c r="O56" s="2"/>
      <c r="P56" s="2"/>
      <c r="Q56" s="2"/>
    </row>
    <row r="57" spans="1:24" x14ac:dyDescent="0.2">
      <c r="A57" s="1" t="s">
        <v>35</v>
      </c>
      <c r="J57" s="1">
        <f>35.787+5.836+9.125+14.458-332.72-189.084</f>
        <v>-456.59800000000001</v>
      </c>
      <c r="N57" s="2"/>
      <c r="O57" s="2"/>
      <c r="P57" s="2">
        <f>160.997+7.038+18.537-519.346-3.119-113.295</f>
        <v>-449.18800000000005</v>
      </c>
      <c r="Q57" s="2">
        <f>72.822+9.423+27.28-97.274-432.149</f>
        <v>-419.89800000000002</v>
      </c>
    </row>
    <row r="59" spans="1:24" x14ac:dyDescent="0.2">
      <c r="A59" s="1" t="s">
        <v>66</v>
      </c>
      <c r="N59" s="5">
        <f t="shared" ref="N59:P59" si="125">+N27/N26</f>
        <v>0.39532590705809173</v>
      </c>
      <c r="O59" s="5">
        <f t="shared" si="125"/>
        <v>0.41383550574429984</v>
      </c>
      <c r="P59" s="5">
        <f t="shared" si="125"/>
        <v>0.4206809670314603</v>
      </c>
      <c r="Q59" s="5">
        <f>+Q27/Q26</f>
        <v>0.22678105184632619</v>
      </c>
    </row>
    <row r="61" spans="1:24" x14ac:dyDescent="0.2">
      <c r="A61" s="1" t="s">
        <v>67</v>
      </c>
      <c r="G61" s="1">
        <v>626.20000000000005</v>
      </c>
      <c r="H61" s="1">
        <v>631.79999999999995</v>
      </c>
      <c r="K61" s="1">
        <v>667</v>
      </c>
      <c r="L61" s="1">
        <v>669.3</v>
      </c>
    </row>
    <row r="62" spans="1:24" x14ac:dyDescent="0.2">
      <c r="K62" s="6">
        <f>+K61/G61-1</f>
        <v>6.5154902587032826E-2</v>
      </c>
      <c r="L62" s="6">
        <f t="shared" ref="L62" si="126">+L61/H61-1</f>
        <v>5.9354226020892797E-2</v>
      </c>
    </row>
    <row r="63" spans="1:24" x14ac:dyDescent="0.2">
      <c r="A63" s="1" t="s">
        <v>68</v>
      </c>
      <c r="G63" s="1">
        <v>0.63300000000000001</v>
      </c>
      <c r="H63" s="1">
        <v>0.626</v>
      </c>
      <c r="K63" s="1">
        <v>0.64200000000000002</v>
      </c>
      <c r="L63" s="1">
        <v>0.64400000000000002</v>
      </c>
      <c r="P63" s="1">
        <v>0.626</v>
      </c>
      <c r="Q63" s="1">
        <v>0.63200000000000001</v>
      </c>
    </row>
    <row r="64" spans="1:24" x14ac:dyDescent="0.2">
      <c r="K64" s="6">
        <f>+K63/G63-1</f>
        <v>1.4218009478673022E-2</v>
      </c>
      <c r="L64" s="6">
        <f t="shared" ref="L64" si="127">+L63/H63-1</f>
        <v>2.8753993610223683E-2</v>
      </c>
      <c r="Q64" s="16">
        <f>+Q63/P63-1</f>
        <v>9.5846645367412275E-3</v>
      </c>
    </row>
    <row r="65" spans="1:17" x14ac:dyDescent="0.2">
      <c r="A65" s="1" t="s">
        <v>69</v>
      </c>
      <c r="G65" s="5">
        <v>1.0900000000000001</v>
      </c>
      <c r="K65" s="5">
        <v>1.02</v>
      </c>
      <c r="L65" s="5">
        <v>0.99</v>
      </c>
      <c r="P65" s="5">
        <v>1.07</v>
      </c>
      <c r="Q65" s="5">
        <v>1.04</v>
      </c>
    </row>
    <row r="67" spans="1:17" x14ac:dyDescent="0.2">
      <c r="A67" s="1" t="s">
        <v>70</v>
      </c>
      <c r="P67" s="1">
        <v>1386</v>
      </c>
      <c r="Q67" s="1">
        <v>1461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alexandreduartemorais@gmail.com</dc:creator>
  <cp:keywords/>
  <dc:description/>
  <cp:lastModifiedBy>Alexandre Duarte Morais</cp:lastModifiedBy>
  <cp:revision/>
  <dcterms:created xsi:type="dcterms:W3CDTF">2024-09-07T09:35:19Z</dcterms:created>
  <dcterms:modified xsi:type="dcterms:W3CDTF">2024-12-29T16:45:09Z</dcterms:modified>
  <cp:category/>
  <cp:contentStatus/>
</cp:coreProperties>
</file>