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353" documentId="13_ncr:1_{14A4A735-D7D8-4933-A81D-77F9E10E48BD}" xr6:coauthVersionLast="47" xr6:coauthVersionMax="47" xr10:uidLastSave="{37E0D101-02C1-4A63-8EFA-C23BC7A81B8F}"/>
  <bookViews>
    <workbookView xWindow="-108" yWindow="-108" windowWidth="23256" windowHeight="12456" activeTab="1" xr2:uid="{BB234A4D-2F93-4031-8E17-C0F98C97F79D}"/>
  </bookViews>
  <sheets>
    <sheet name="main" sheetId="1" r:id="rId1"/>
    <sheet name="model (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77" i="3" l="1"/>
  <c r="Z38" i="3"/>
  <c r="Y38" i="3"/>
  <c r="X38" i="3"/>
  <c r="W38" i="3"/>
  <c r="V38" i="3"/>
  <c r="U38" i="3"/>
  <c r="T38" i="3"/>
  <c r="S38" i="3"/>
  <c r="R38" i="3"/>
  <c r="AC5" i="3"/>
  <c r="B48" i="1"/>
  <c r="B6" i="1"/>
  <c r="B5" i="1"/>
  <c r="O21" i="3"/>
  <c r="O43" i="3"/>
  <c r="O31" i="3"/>
  <c r="N31" i="3"/>
  <c r="N21" i="3"/>
  <c r="O19" i="3"/>
  <c r="N19" i="3"/>
  <c r="O11" i="3"/>
  <c r="O14" i="3" s="1"/>
  <c r="N11" i="3"/>
  <c r="N14" i="3" s="1"/>
  <c r="O5" i="3"/>
  <c r="O8" i="3" s="1"/>
  <c r="O50" i="3" s="1"/>
  <c r="N5" i="3"/>
  <c r="N8" i="3" s="1"/>
  <c r="N33" i="3" s="1"/>
  <c r="N43" i="3"/>
  <c r="T42" i="3"/>
  <c r="U42" i="3" s="1"/>
  <c r="T41" i="3"/>
  <c r="U41" i="3" s="1"/>
  <c r="V41" i="3" s="1"/>
  <c r="T6" i="3"/>
  <c r="U6" i="3" s="1"/>
  <c r="U50" i="3"/>
  <c r="V50" i="3" s="1"/>
  <c r="W50" i="3" s="1"/>
  <c r="X50" i="3" s="1"/>
  <c r="Y50" i="3" s="1"/>
  <c r="Z50" i="3" s="1"/>
  <c r="T26" i="3"/>
  <c r="U26" i="3" s="1"/>
  <c r="V26" i="3" s="1"/>
  <c r="W26" i="3" s="1"/>
  <c r="X26" i="3" s="1"/>
  <c r="Y26" i="3" s="1"/>
  <c r="Z26" i="3" s="1"/>
  <c r="T13" i="3"/>
  <c r="U7" i="3"/>
  <c r="V7" i="3" s="1"/>
  <c r="W7" i="3" s="1"/>
  <c r="X7" i="3" s="1"/>
  <c r="Y7" i="3" s="1"/>
  <c r="Z7" i="3" s="1"/>
  <c r="Z13" i="3" s="1"/>
  <c r="T7" i="3"/>
  <c r="Q75" i="3"/>
  <c r="S73" i="3"/>
  <c r="R73" i="3"/>
  <c r="S72" i="3"/>
  <c r="R72" i="3"/>
  <c r="R75" i="3" s="1"/>
  <c r="Q68" i="3"/>
  <c r="Q77" i="3" s="1"/>
  <c r="S65" i="3"/>
  <c r="R65" i="3"/>
  <c r="S57" i="3"/>
  <c r="S68" i="3" s="1"/>
  <c r="R57" i="3"/>
  <c r="S54" i="3"/>
  <c r="T21" i="3" s="1"/>
  <c r="U21" i="3" s="1"/>
  <c r="V21" i="3" s="1"/>
  <c r="W21" i="3" s="1"/>
  <c r="X21" i="3" s="1"/>
  <c r="Y21" i="3" s="1"/>
  <c r="Z21" i="3" s="1"/>
  <c r="R54" i="3"/>
  <c r="S43" i="3"/>
  <c r="R43" i="3"/>
  <c r="Q43" i="3"/>
  <c r="M43" i="3"/>
  <c r="L43" i="3"/>
  <c r="L44" i="3" s="1"/>
  <c r="K43" i="3"/>
  <c r="J43" i="3"/>
  <c r="J44" i="3" s="1"/>
  <c r="I43" i="3"/>
  <c r="H43" i="3"/>
  <c r="G43" i="3"/>
  <c r="F43" i="3"/>
  <c r="E43" i="3"/>
  <c r="D43" i="3"/>
  <c r="C43" i="3"/>
  <c r="B43" i="3"/>
  <c r="Z31" i="3"/>
  <c r="Y31" i="3"/>
  <c r="X31" i="3"/>
  <c r="W31" i="3"/>
  <c r="V31" i="3"/>
  <c r="U31" i="3"/>
  <c r="T31" i="3"/>
  <c r="S31" i="3"/>
  <c r="R31" i="3"/>
  <c r="Q31" i="3"/>
  <c r="M31" i="3"/>
  <c r="L31" i="3"/>
  <c r="K31" i="3"/>
  <c r="J31" i="3"/>
  <c r="I31" i="3"/>
  <c r="H31" i="3"/>
  <c r="G31" i="3"/>
  <c r="F31" i="3"/>
  <c r="E31" i="3"/>
  <c r="D31" i="3"/>
  <c r="C31" i="3"/>
  <c r="B31" i="3"/>
  <c r="M24" i="3"/>
  <c r="I24" i="3"/>
  <c r="E24" i="3"/>
  <c r="M22" i="3"/>
  <c r="I22" i="3"/>
  <c r="E22" i="3"/>
  <c r="S21" i="3"/>
  <c r="R21" i="3"/>
  <c r="Q21" i="3"/>
  <c r="L21" i="3"/>
  <c r="K21" i="3"/>
  <c r="J21" i="3"/>
  <c r="H21" i="3"/>
  <c r="G21" i="3"/>
  <c r="F21" i="3"/>
  <c r="D21" i="3"/>
  <c r="C21" i="3"/>
  <c r="B21" i="3"/>
  <c r="S19" i="3"/>
  <c r="R19" i="3"/>
  <c r="Q19" i="3"/>
  <c r="L19" i="3"/>
  <c r="K19" i="3"/>
  <c r="J19" i="3"/>
  <c r="H19" i="3"/>
  <c r="G19" i="3"/>
  <c r="F19" i="3"/>
  <c r="D19" i="3"/>
  <c r="C19" i="3"/>
  <c r="B19" i="3"/>
  <c r="M18" i="3"/>
  <c r="I18" i="3"/>
  <c r="E18" i="3"/>
  <c r="M17" i="3"/>
  <c r="I17" i="3"/>
  <c r="E17" i="3"/>
  <c r="M16" i="3"/>
  <c r="I16" i="3"/>
  <c r="E16" i="3"/>
  <c r="M13" i="3"/>
  <c r="I13" i="3"/>
  <c r="E13" i="3"/>
  <c r="M12" i="3"/>
  <c r="I12" i="3"/>
  <c r="E12" i="3"/>
  <c r="S11" i="3"/>
  <c r="S52" i="3" s="1"/>
  <c r="R11" i="3"/>
  <c r="Q11" i="3"/>
  <c r="Q14" i="3" s="1"/>
  <c r="L11" i="3"/>
  <c r="L14" i="3" s="1"/>
  <c r="K11" i="3"/>
  <c r="K14" i="3" s="1"/>
  <c r="J11" i="3"/>
  <c r="J52" i="3" s="1"/>
  <c r="H11" i="3"/>
  <c r="G11" i="3"/>
  <c r="F11" i="3"/>
  <c r="F14" i="3" s="1"/>
  <c r="D11" i="3"/>
  <c r="D14" i="3" s="1"/>
  <c r="C11" i="3"/>
  <c r="C14" i="3" s="1"/>
  <c r="B11" i="3"/>
  <c r="B14" i="3" s="1"/>
  <c r="M10" i="3"/>
  <c r="I10" i="3"/>
  <c r="E10" i="3"/>
  <c r="M9" i="3"/>
  <c r="I9" i="3"/>
  <c r="E9" i="3"/>
  <c r="M7" i="3"/>
  <c r="I7" i="3"/>
  <c r="E7" i="3"/>
  <c r="M6" i="3"/>
  <c r="I6" i="3"/>
  <c r="E6" i="3"/>
  <c r="S5" i="3"/>
  <c r="R5" i="3"/>
  <c r="Q5" i="3"/>
  <c r="Q51" i="3" s="1"/>
  <c r="L5" i="3"/>
  <c r="L8" i="3" s="1"/>
  <c r="K5" i="3"/>
  <c r="K8" i="3" s="1"/>
  <c r="J5" i="3"/>
  <c r="J8" i="3" s="1"/>
  <c r="J50" i="3" s="1"/>
  <c r="H5" i="3"/>
  <c r="H8" i="3" s="1"/>
  <c r="G5" i="3"/>
  <c r="F5" i="3"/>
  <c r="D5" i="3"/>
  <c r="D8" i="3" s="1"/>
  <c r="C5" i="3"/>
  <c r="C8" i="3" s="1"/>
  <c r="B5" i="3"/>
  <c r="B8" i="3" s="1"/>
  <c r="M4" i="3"/>
  <c r="I4" i="3"/>
  <c r="E4" i="3"/>
  <c r="M3" i="3"/>
  <c r="I3" i="3"/>
  <c r="E3" i="3"/>
  <c r="M2" i="3"/>
  <c r="I2" i="3"/>
  <c r="E2" i="3"/>
  <c r="T1" i="3"/>
  <c r="U1" i="3" s="1"/>
  <c r="V1" i="3" s="1"/>
  <c r="W1" i="3" s="1"/>
  <c r="X1" i="3" s="1"/>
  <c r="Y1" i="3" s="1"/>
  <c r="Z1" i="3" s="1"/>
  <c r="B2" i="1" a="1"/>
  <c r="B2" i="1" s="1"/>
  <c r="B4" i="1" s="1"/>
  <c r="I44" i="3" l="1"/>
  <c r="E5" i="3"/>
  <c r="S75" i="3"/>
  <c r="R52" i="3"/>
  <c r="K44" i="3"/>
  <c r="R68" i="3"/>
  <c r="R77" i="3" s="1"/>
  <c r="I11" i="3"/>
  <c r="I52" i="3" s="1"/>
  <c r="J14" i="3"/>
  <c r="J15" i="3" s="1"/>
  <c r="J20" i="3" s="1"/>
  <c r="J23" i="3" s="1"/>
  <c r="J25" i="3" s="1"/>
  <c r="M11" i="3"/>
  <c r="M52" i="3" s="1"/>
  <c r="M44" i="3"/>
  <c r="H52" i="3"/>
  <c r="F44" i="3"/>
  <c r="H33" i="3"/>
  <c r="B51" i="3"/>
  <c r="M19" i="3"/>
  <c r="G44" i="3"/>
  <c r="N15" i="3"/>
  <c r="N34" i="3" s="1"/>
  <c r="O51" i="3"/>
  <c r="M5" i="3"/>
  <c r="M8" i="3" s="1"/>
  <c r="E19" i="3"/>
  <c r="H44" i="3"/>
  <c r="N44" i="3"/>
  <c r="O52" i="3"/>
  <c r="Q52" i="3"/>
  <c r="B15" i="3"/>
  <c r="B20" i="3" s="1"/>
  <c r="B23" i="3" s="1"/>
  <c r="B25" i="3" s="1"/>
  <c r="E21" i="3"/>
  <c r="O44" i="3"/>
  <c r="O33" i="3"/>
  <c r="O15" i="3"/>
  <c r="O34" i="3" s="1"/>
  <c r="B7" i="1"/>
  <c r="N51" i="3"/>
  <c r="M14" i="3"/>
  <c r="B50" i="3"/>
  <c r="F51" i="3"/>
  <c r="S14" i="3"/>
  <c r="G51" i="3"/>
  <c r="S51" i="3"/>
  <c r="C51" i="3"/>
  <c r="X13" i="3"/>
  <c r="R51" i="3"/>
  <c r="B52" i="3"/>
  <c r="I21" i="3"/>
  <c r="K51" i="3"/>
  <c r="Y13" i="3"/>
  <c r="H51" i="3"/>
  <c r="J51" i="3"/>
  <c r="S8" i="3"/>
  <c r="M21" i="3"/>
  <c r="F52" i="3"/>
  <c r="E11" i="3"/>
  <c r="E52" i="3" s="1"/>
  <c r="I19" i="3"/>
  <c r="T12" i="3"/>
  <c r="N50" i="3"/>
  <c r="G52" i="3"/>
  <c r="H14" i="3"/>
  <c r="N52" i="3"/>
  <c r="U13" i="3"/>
  <c r="V13" i="3"/>
  <c r="I5" i="3"/>
  <c r="I8" i="3" s="1"/>
  <c r="W13" i="3"/>
  <c r="V42" i="3"/>
  <c r="W42" i="3" s="1"/>
  <c r="X42" i="3" s="1"/>
  <c r="Y42" i="3" s="1"/>
  <c r="Z42" i="3" s="1"/>
  <c r="W41" i="3"/>
  <c r="X41" i="3" s="1"/>
  <c r="Y41" i="3" s="1"/>
  <c r="Z41" i="3" s="1"/>
  <c r="U12" i="3"/>
  <c r="T43" i="3"/>
  <c r="T5" i="3" s="1"/>
  <c r="T9" i="3" s="1"/>
  <c r="U43" i="3"/>
  <c r="U5" i="3" s="1"/>
  <c r="U9" i="3" s="1"/>
  <c r="B35" i="3"/>
  <c r="K50" i="3"/>
  <c r="K15" i="3"/>
  <c r="L50" i="3"/>
  <c r="L15" i="3"/>
  <c r="L33" i="3"/>
  <c r="E14" i="3"/>
  <c r="C50" i="3"/>
  <c r="C15" i="3"/>
  <c r="M50" i="3"/>
  <c r="I14" i="3"/>
  <c r="E8" i="3"/>
  <c r="E51" i="3"/>
  <c r="D50" i="3"/>
  <c r="D15" i="3"/>
  <c r="F8" i="3"/>
  <c r="J33" i="3" s="1"/>
  <c r="Q8" i="3"/>
  <c r="H15" i="3"/>
  <c r="C52" i="3"/>
  <c r="K52" i="3"/>
  <c r="D51" i="3"/>
  <c r="L51" i="3"/>
  <c r="G8" i="3"/>
  <c r="R8" i="3"/>
  <c r="G14" i="3"/>
  <c r="R14" i="3"/>
  <c r="H50" i="3"/>
  <c r="D52" i="3"/>
  <c r="L52" i="3"/>
  <c r="B34" i="3"/>
  <c r="M33" i="3" l="1"/>
  <c r="M51" i="3"/>
  <c r="N20" i="3"/>
  <c r="N35" i="3"/>
  <c r="N23" i="3"/>
  <c r="N25" i="3" s="1"/>
  <c r="J35" i="3"/>
  <c r="S15" i="3"/>
  <c r="S20" i="3" s="1"/>
  <c r="I51" i="3"/>
  <c r="M15" i="3"/>
  <c r="M34" i="3" s="1"/>
  <c r="J34" i="3"/>
  <c r="O20" i="3"/>
  <c r="O23" i="3" s="1"/>
  <c r="O25" i="3" s="1"/>
  <c r="S50" i="3"/>
  <c r="V6" i="3"/>
  <c r="V12" i="3" s="1"/>
  <c r="X43" i="3"/>
  <c r="X5" i="3" s="1"/>
  <c r="X9" i="3" s="1"/>
  <c r="V43" i="3"/>
  <c r="V5" i="3" s="1"/>
  <c r="V9" i="3" s="1"/>
  <c r="W43" i="3"/>
  <c r="W5" i="3" s="1"/>
  <c r="W9" i="3" s="1"/>
  <c r="U8" i="3"/>
  <c r="U10" i="3" s="1"/>
  <c r="Z43" i="3"/>
  <c r="Z5" i="3" s="1"/>
  <c r="Z9" i="3" s="1"/>
  <c r="Y43" i="3"/>
  <c r="Y5" i="3" s="1"/>
  <c r="Y9" i="3" s="1"/>
  <c r="K34" i="3"/>
  <c r="K20" i="3"/>
  <c r="R15" i="3"/>
  <c r="R33" i="3"/>
  <c r="R50" i="3"/>
  <c r="G15" i="3"/>
  <c r="G33" i="3"/>
  <c r="G50" i="3"/>
  <c r="H20" i="3"/>
  <c r="H34" i="3"/>
  <c r="L34" i="3"/>
  <c r="L20" i="3"/>
  <c r="D34" i="3"/>
  <c r="D20" i="3"/>
  <c r="K33" i="3"/>
  <c r="C34" i="3"/>
  <c r="C20" i="3"/>
  <c r="Q50" i="3"/>
  <c r="Q15" i="3"/>
  <c r="F50" i="3"/>
  <c r="F33" i="3"/>
  <c r="F15" i="3"/>
  <c r="J36" i="3"/>
  <c r="J27" i="3"/>
  <c r="I50" i="3"/>
  <c r="I33" i="3"/>
  <c r="I15" i="3"/>
  <c r="E50" i="3"/>
  <c r="E15" i="3"/>
  <c r="S33" i="3"/>
  <c r="B36" i="3"/>
  <c r="B27" i="3"/>
  <c r="S34" i="3" l="1"/>
  <c r="M20" i="3"/>
  <c r="M35" i="3" s="1"/>
  <c r="N36" i="3"/>
  <c r="N27" i="3"/>
  <c r="O35" i="3"/>
  <c r="O27" i="3"/>
  <c r="O36" i="3"/>
  <c r="W6" i="3"/>
  <c r="W12" i="3" s="1"/>
  <c r="V8" i="3"/>
  <c r="U16" i="3"/>
  <c r="U11" i="3"/>
  <c r="U52" i="3" s="1"/>
  <c r="U17" i="3"/>
  <c r="K35" i="3"/>
  <c r="K23" i="3"/>
  <c r="K25" i="3" s="1"/>
  <c r="H35" i="3"/>
  <c r="H23" i="3"/>
  <c r="H25" i="3" s="1"/>
  <c r="M23" i="3"/>
  <c r="M25" i="3" s="1"/>
  <c r="F34" i="3"/>
  <c r="F20" i="3"/>
  <c r="Q34" i="3"/>
  <c r="Q20" i="3"/>
  <c r="L35" i="3"/>
  <c r="L23" i="3"/>
  <c r="L25" i="3" s="1"/>
  <c r="G20" i="3"/>
  <c r="G34" i="3"/>
  <c r="C35" i="3"/>
  <c r="C23" i="3"/>
  <c r="C25" i="3" s="1"/>
  <c r="E34" i="3"/>
  <c r="E20" i="3"/>
  <c r="I20" i="3"/>
  <c r="I34" i="3"/>
  <c r="D35" i="3"/>
  <c r="D23" i="3"/>
  <c r="D25" i="3" s="1"/>
  <c r="S35" i="3"/>
  <c r="S23" i="3"/>
  <c r="S25" i="3" s="1"/>
  <c r="R20" i="3"/>
  <c r="R34" i="3"/>
  <c r="X6" i="3" l="1"/>
  <c r="W8" i="3"/>
  <c r="W10" i="3" s="1"/>
  <c r="W11" i="3" s="1"/>
  <c r="W52" i="3" s="1"/>
  <c r="V33" i="3"/>
  <c r="V10" i="3"/>
  <c r="V11" i="3" s="1"/>
  <c r="V51" i="3" s="1"/>
  <c r="X8" i="3"/>
  <c r="X10" i="3" s="1"/>
  <c r="X11" i="3" s="1"/>
  <c r="X12" i="3"/>
  <c r="U19" i="3"/>
  <c r="V16" i="3"/>
  <c r="V17" i="3"/>
  <c r="W33" i="3"/>
  <c r="W17" i="3"/>
  <c r="W16" i="3"/>
  <c r="Y6" i="3"/>
  <c r="U51" i="3"/>
  <c r="U14" i="3"/>
  <c r="U15" i="3" s="1"/>
  <c r="W14" i="3"/>
  <c r="W15" i="3" s="1"/>
  <c r="W34" i="3" s="1"/>
  <c r="H36" i="3"/>
  <c r="H27" i="3"/>
  <c r="C27" i="3"/>
  <c r="C36" i="3"/>
  <c r="D36" i="3"/>
  <c r="D27" i="3"/>
  <c r="I23" i="3"/>
  <c r="I25" i="3" s="1"/>
  <c r="I35" i="3"/>
  <c r="F35" i="3"/>
  <c r="F23" i="3"/>
  <c r="F25" i="3" s="1"/>
  <c r="S36" i="3"/>
  <c r="S27" i="3"/>
  <c r="Q35" i="3"/>
  <c r="Q23" i="3"/>
  <c r="Q25" i="3" s="1"/>
  <c r="K27" i="3"/>
  <c r="K36" i="3"/>
  <c r="R35" i="3"/>
  <c r="R23" i="3"/>
  <c r="R25" i="3" s="1"/>
  <c r="G35" i="3"/>
  <c r="G23" i="3"/>
  <c r="G25" i="3" s="1"/>
  <c r="E35" i="3"/>
  <c r="E23" i="3"/>
  <c r="E25" i="3" s="1"/>
  <c r="L36" i="3"/>
  <c r="L27" i="3"/>
  <c r="M36" i="3"/>
  <c r="M27" i="3"/>
  <c r="W51" i="3" l="1"/>
  <c r="U20" i="3"/>
  <c r="U35" i="3" s="1"/>
  <c r="X17" i="3"/>
  <c r="V19" i="3"/>
  <c r="X33" i="3"/>
  <c r="X16" i="3"/>
  <c r="Y8" i="3"/>
  <c r="Y17" i="3" s="1"/>
  <c r="Y12" i="3"/>
  <c r="V52" i="3"/>
  <c r="V14" i="3"/>
  <c r="V15" i="3" s="1"/>
  <c r="V34" i="3" s="1"/>
  <c r="W19" i="3"/>
  <c r="W20" i="3" s="1"/>
  <c r="W23" i="3" s="1"/>
  <c r="Z6" i="3"/>
  <c r="Z12" i="3" s="1"/>
  <c r="U34" i="3"/>
  <c r="X14" i="3"/>
  <c r="X15" i="3" s="1"/>
  <c r="X34" i="3" s="1"/>
  <c r="X51" i="3"/>
  <c r="X52" i="3"/>
  <c r="G27" i="3"/>
  <c r="G36" i="3"/>
  <c r="F27" i="3"/>
  <c r="F36" i="3"/>
  <c r="I36" i="3"/>
  <c r="I27" i="3"/>
  <c r="R27" i="3"/>
  <c r="R36" i="3"/>
  <c r="Q27" i="3"/>
  <c r="Q36" i="3"/>
  <c r="E36" i="3"/>
  <c r="E27" i="3"/>
  <c r="T8" i="3"/>
  <c r="T10" i="3" l="1"/>
  <c r="T11" i="3" s="1"/>
  <c r="T33" i="3"/>
  <c r="Y10" i="3"/>
  <c r="Y11" i="3" s="1"/>
  <c r="U23" i="3"/>
  <c r="U24" i="3" s="1"/>
  <c r="U25" i="3" s="1"/>
  <c r="Y16" i="3"/>
  <c r="Y19" i="3" s="1"/>
  <c r="X19" i="3"/>
  <c r="X20" i="3" s="1"/>
  <c r="X35" i="3" s="1"/>
  <c r="Y33" i="3"/>
  <c r="V20" i="3"/>
  <c r="V23" i="3" s="1"/>
  <c r="V24" i="3" s="1"/>
  <c r="V25" i="3" s="1"/>
  <c r="V36" i="3" s="1"/>
  <c r="W35" i="3"/>
  <c r="Z8" i="3"/>
  <c r="Z10" i="3" s="1"/>
  <c r="T16" i="3"/>
  <c r="T17" i="3"/>
  <c r="W24" i="3"/>
  <c r="W25" i="3" s="1"/>
  <c r="U33" i="3"/>
  <c r="Y51" i="3" l="1"/>
  <c r="Y52" i="3"/>
  <c r="Y14" i="3"/>
  <c r="Y15" i="3" s="1"/>
  <c r="Y20" i="3" s="1"/>
  <c r="Y35" i="3" s="1"/>
  <c r="V35" i="3"/>
  <c r="V27" i="3"/>
  <c r="Z17" i="3"/>
  <c r="Z16" i="3"/>
  <c r="Z33" i="3"/>
  <c r="Z11" i="3"/>
  <c r="X23" i="3"/>
  <c r="X24" i="3" s="1"/>
  <c r="X25" i="3" s="1"/>
  <c r="T51" i="3"/>
  <c r="T14" i="3"/>
  <c r="T15" i="3" s="1"/>
  <c r="T34" i="3" s="1"/>
  <c r="T19" i="3"/>
  <c r="W36" i="3"/>
  <c r="W27" i="3"/>
  <c r="U36" i="3"/>
  <c r="U27" i="3"/>
  <c r="Y34" i="3" l="1"/>
  <c r="Z19" i="3"/>
  <c r="Z52" i="3"/>
  <c r="Z51" i="3"/>
  <c r="Z14" i="3"/>
  <c r="Z15" i="3" s="1"/>
  <c r="Y23" i="3"/>
  <c r="Y24" i="3" s="1"/>
  <c r="Y25" i="3" s="1"/>
  <c r="T20" i="3"/>
  <c r="T23" i="3" s="1"/>
  <c r="X36" i="3"/>
  <c r="X27" i="3"/>
  <c r="Z34" i="3" l="1"/>
  <c r="Z20" i="3"/>
  <c r="T35" i="3"/>
  <c r="T24" i="3"/>
  <c r="T25" i="3" s="1"/>
  <c r="T27" i="3" s="1"/>
  <c r="Y36" i="3"/>
  <c r="Y27" i="3"/>
  <c r="Z35" i="3" l="1"/>
  <c r="Z23" i="3"/>
  <c r="Z24" i="3" s="1"/>
  <c r="Z25" i="3" s="1"/>
  <c r="T36" i="3"/>
  <c r="T54" i="3"/>
  <c r="U54" i="3" s="1"/>
  <c r="V54" i="3" s="1"/>
  <c r="W54" i="3" s="1"/>
  <c r="X54" i="3" s="1"/>
  <c r="Y54" i="3" s="1"/>
  <c r="AA25" i="3" l="1"/>
  <c r="AB25" i="3" s="1"/>
  <c r="AC25" i="3" s="1"/>
  <c r="AD25" i="3" s="1"/>
  <c r="AE25" i="3" s="1"/>
  <c r="AF25" i="3" s="1"/>
  <c r="AG25" i="3" s="1"/>
  <c r="AH25" i="3" s="1"/>
  <c r="AI25" i="3" s="1"/>
  <c r="AJ25" i="3" s="1"/>
  <c r="AK25" i="3" s="1"/>
  <c r="AL25" i="3" s="1"/>
  <c r="AM25" i="3" s="1"/>
  <c r="AN25" i="3" s="1"/>
  <c r="AO25" i="3" s="1"/>
  <c r="AP25" i="3" s="1"/>
  <c r="AQ25" i="3" s="1"/>
  <c r="AR25" i="3" s="1"/>
  <c r="AS25" i="3" s="1"/>
  <c r="AT25" i="3" s="1"/>
  <c r="AU25" i="3" s="1"/>
  <c r="AV25" i="3" s="1"/>
  <c r="AW25" i="3" s="1"/>
  <c r="AX25" i="3" s="1"/>
  <c r="AY25" i="3" s="1"/>
  <c r="AZ25" i="3" s="1"/>
  <c r="BA25" i="3" s="1"/>
  <c r="BB25" i="3" s="1"/>
  <c r="BC25" i="3" s="1"/>
  <c r="BD25" i="3" s="1"/>
  <c r="BE25" i="3" s="1"/>
  <c r="BF25" i="3" s="1"/>
  <c r="BG25" i="3" s="1"/>
  <c r="BH25" i="3" s="1"/>
  <c r="BI25" i="3" s="1"/>
  <c r="BJ25" i="3" s="1"/>
  <c r="BK25" i="3" s="1"/>
  <c r="BL25" i="3" s="1"/>
  <c r="BM25" i="3" s="1"/>
  <c r="BN25" i="3" s="1"/>
  <c r="BO25" i="3" s="1"/>
  <c r="BP25" i="3" s="1"/>
  <c r="BQ25" i="3" s="1"/>
  <c r="BR25" i="3" s="1"/>
  <c r="BS25" i="3" s="1"/>
  <c r="BT25" i="3" s="1"/>
  <c r="BU25" i="3" s="1"/>
  <c r="BV25" i="3" s="1"/>
  <c r="BW25" i="3" s="1"/>
  <c r="BX25" i="3" s="1"/>
  <c r="BY25" i="3" s="1"/>
  <c r="BZ25" i="3" s="1"/>
  <c r="CA25" i="3" s="1"/>
  <c r="CB25" i="3" s="1"/>
  <c r="Z36" i="3"/>
  <c r="Z27" i="3"/>
  <c r="Z54" i="3"/>
  <c r="AC4" i="3" l="1"/>
  <c r="AC6" i="3" s="1"/>
  <c r="AC7" i="3" s="1"/>
  <c r="AC8"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<sst xmlns="http://schemas.openxmlformats.org/spreadsheetml/2006/main" count="152" uniqueCount="133">
  <si>
    <t>ticket</t>
  </si>
  <si>
    <t>price</t>
  </si>
  <si>
    <t>shares</t>
  </si>
  <si>
    <t>mc</t>
  </si>
  <si>
    <t>cash</t>
  </si>
  <si>
    <t>debt</t>
  </si>
  <si>
    <t>ev</t>
  </si>
  <si>
    <t>Automotive sales</t>
  </si>
  <si>
    <t>Automotive regulatory credits</t>
  </si>
  <si>
    <t>Automotive leasing</t>
  </si>
  <si>
    <t>Total Auto revenues</t>
  </si>
  <si>
    <t>Energy Generation and storage</t>
  </si>
  <si>
    <t>Services and other</t>
  </si>
  <si>
    <t>Total Revenue</t>
  </si>
  <si>
    <t>Q1 2022</t>
  </si>
  <si>
    <t>Q2 2022</t>
  </si>
  <si>
    <t>Q3 2022</t>
  </si>
  <si>
    <t>Q4 2022</t>
  </si>
  <si>
    <t>Q1 2023</t>
  </si>
  <si>
    <t>Q2 2023</t>
  </si>
  <si>
    <t>Q3 2023</t>
  </si>
  <si>
    <t>Q4 2023</t>
  </si>
  <si>
    <t>Q1 2021</t>
  </si>
  <si>
    <t>Q2 2021</t>
  </si>
  <si>
    <t>COGS Auto sales</t>
  </si>
  <si>
    <t>COGS auto leasing</t>
  </si>
  <si>
    <t>Total auto COGS</t>
  </si>
  <si>
    <t>COGS Energy gen and storage</t>
  </si>
  <si>
    <t>COGS Services and other</t>
  </si>
  <si>
    <t>Total COGS</t>
  </si>
  <si>
    <t>Gross Profit</t>
  </si>
  <si>
    <t>R&amp;D</t>
  </si>
  <si>
    <t>S&amp;G&amp;A</t>
  </si>
  <si>
    <t>Restructuring</t>
  </si>
  <si>
    <t>Total Opex</t>
  </si>
  <si>
    <t>Operating income</t>
  </si>
  <si>
    <t>Net interest</t>
  </si>
  <si>
    <t>Other income</t>
  </si>
  <si>
    <t>Pretax Income</t>
  </si>
  <si>
    <t>Taxes</t>
  </si>
  <si>
    <t>Net Income</t>
  </si>
  <si>
    <t xml:space="preserve">Shares </t>
  </si>
  <si>
    <t>EPS</t>
  </si>
  <si>
    <t>CFFO</t>
  </si>
  <si>
    <t>CAPEX</t>
  </si>
  <si>
    <t>FCF</t>
  </si>
  <si>
    <t>Revenue Y/Y</t>
  </si>
  <si>
    <t>Gross Margin</t>
  </si>
  <si>
    <t>Operating Margin</t>
  </si>
  <si>
    <t>Net Margin</t>
  </si>
  <si>
    <t>Vehicle Deliveries</t>
  </si>
  <si>
    <t>Model 3/Y</t>
  </si>
  <si>
    <t>Total</t>
  </si>
  <si>
    <t>Revenue by Geography</t>
  </si>
  <si>
    <t>US</t>
  </si>
  <si>
    <t>China</t>
  </si>
  <si>
    <t>Other</t>
  </si>
  <si>
    <t>Model S/X/CyberTruck</t>
  </si>
  <si>
    <t>Q3 2021</t>
  </si>
  <si>
    <t>Q4 2021</t>
  </si>
  <si>
    <t>Revenue by Vehicle</t>
  </si>
  <si>
    <t>main</t>
  </si>
  <si>
    <t>Vehicle Gross Margin</t>
  </si>
  <si>
    <t>Cost per vehicle</t>
  </si>
  <si>
    <t>net cash</t>
  </si>
  <si>
    <t>balance sheet</t>
  </si>
  <si>
    <t>Cash&amp;equivalents</t>
  </si>
  <si>
    <t>A/R</t>
  </si>
  <si>
    <t>Inventory</t>
  </si>
  <si>
    <t>Prepaid expenses</t>
  </si>
  <si>
    <t>Operating lease vehicles</t>
  </si>
  <si>
    <t>Solar energy systems</t>
  </si>
  <si>
    <t>PP&amp;E</t>
  </si>
  <si>
    <t>Operating lease assets</t>
  </si>
  <si>
    <t>Goodwill &amp; Intangibles</t>
  </si>
  <si>
    <t>Deferred taxes</t>
  </si>
  <si>
    <t>Other assets</t>
  </si>
  <si>
    <t>Total Assets</t>
  </si>
  <si>
    <t>A/P</t>
  </si>
  <si>
    <t>Accrued liabilities</t>
  </si>
  <si>
    <t>Deferred Revenue</t>
  </si>
  <si>
    <t>Debt</t>
  </si>
  <si>
    <t>Other liabilities</t>
  </si>
  <si>
    <t>Total Liabilities</t>
  </si>
  <si>
    <t>S/E</t>
  </si>
  <si>
    <t>Gigafactory Texas</t>
  </si>
  <si>
    <t>Gigafactory Nevada</t>
  </si>
  <si>
    <t>Gigafactory Berlin</t>
  </si>
  <si>
    <t>Gigafactory Shanghai</t>
  </si>
  <si>
    <t>Fremont Factory, California</t>
  </si>
  <si>
    <t>Gigafactory New York</t>
  </si>
  <si>
    <t>Factories List</t>
  </si>
  <si>
    <t>Y</t>
  </si>
  <si>
    <t>Gigafactory in Monterrey, Mexico</t>
  </si>
  <si>
    <t>discount rate</t>
  </si>
  <si>
    <t>Maturity</t>
  </si>
  <si>
    <t>npv</t>
  </si>
  <si>
    <t>Q1 2024</t>
  </si>
  <si>
    <t>Q2 2024</t>
  </si>
  <si>
    <t>2024 Global market share for Evs approximately 15% car sales vs 14% 2022</t>
  </si>
  <si>
    <t>Tesla</t>
  </si>
  <si>
    <t>BYD</t>
  </si>
  <si>
    <t>Geely Holdings</t>
  </si>
  <si>
    <t>Global EV market share Q1 2024</t>
  </si>
  <si>
    <t>Others</t>
  </si>
  <si>
    <t>Y/Y %</t>
  </si>
  <si>
    <t>Problems</t>
  </si>
  <si>
    <t>Weak EV demand</t>
  </si>
  <si>
    <t>Production &gt; Deliveries</t>
  </si>
  <si>
    <t>Losing Market share</t>
  </si>
  <si>
    <t>Strong competition</t>
  </si>
  <si>
    <t>Lowering Margins</t>
  </si>
  <si>
    <t xml:space="preserve">CEO </t>
  </si>
  <si>
    <t>Elon Musk</t>
  </si>
  <si>
    <t>% Stake</t>
  </si>
  <si>
    <t>Founded</t>
  </si>
  <si>
    <t>HQ</t>
  </si>
  <si>
    <t>Austin, Texas US</t>
  </si>
  <si>
    <t>S</t>
  </si>
  <si>
    <t>X</t>
  </si>
  <si>
    <t>CyberTruck</t>
  </si>
  <si>
    <t>Battery Packs</t>
  </si>
  <si>
    <t>Powerwalls</t>
  </si>
  <si>
    <t>Semi(Planned)</t>
  </si>
  <si>
    <t>2 (planned)</t>
  </si>
  <si>
    <t>Solar</t>
  </si>
  <si>
    <t>650k</t>
  </si>
  <si>
    <t>In construction ( Model 2 planned ?)</t>
  </si>
  <si>
    <t>500k</t>
  </si>
  <si>
    <t xml:space="preserve">1M </t>
  </si>
  <si>
    <t>375K</t>
  </si>
  <si>
    <t>1 M</t>
  </si>
  <si>
    <t>Contribution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</si>
</sst>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164" formatCode="_([$$-409]* #,##0.00_);_([$$-409]* \(#,##0.00\);_([$$-409]* &quot;-&quot;??_);_(@_)"/>
    <numFmt numFmtId="165" formatCode="_-[$$-409]* #,##0.00_ ;_-[$$-409]* \-#,##0.00\ ;_-[$$-409]* &quot;-&quot;??_ ;_-@_ "/>
    <numFmt numFmtId="166" formatCode="_-[$$-409]* #,##0_ ;_-[$$-409]* \-#,##0\ ;_-[$$-409]* &quot;-&quot;??_ ;_-@_ "/>
    <numFmt numFmtId="167" formatCode="0.0%"/>
    <numFmt numFmtId="168" formatCode="#,##0_ ;\-#,##0\ "/>
  </numFmts>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0"/>
      <color theme="10"/>
      <name val="Arial"/>
      <family val="2"/>
    </font>
    <font>
      <b/>
      <sz val="10"/>
      <color theme="1"/>
      <name val="Arial"/>
      <family val="2"/>
    </font>
    <font>
      <sz val="10"/>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28">
    <xf numFmtId="0" fontId="0" fillId="0" borderId="0" xfId="0"/>
    <xf numFmtId="164" fontId="0" fillId="0" borderId="0" xfId="0" applyNumberFormat="1"/>
    <xf numFmtId="165" fontId="0" fillId="0" borderId="0" xfId="0" applyNumberFormat="1"/>
    <xf numFmtId="0" fontId="2" fillId="0" borderId="0" xfId="0" applyFont="1"/>
    <xf numFmtId="3" fontId="0" fillId="0" borderId="0" xfId="0" applyNumberFormat="1"/>
    <xf numFmtId="9" fontId="0" fillId="0" borderId="0" xfId="0" applyNumberFormat="1"/>
    <xf numFmtId="10" fontId="0" fillId="0" borderId="0" xfId="0" applyNumberFormat="1"/>
    <xf numFmtId="0" fontId="0" fillId="0" borderId="0" xfId="0" applyAlignment="1">
      <alignment horizontal="right"/>
    </xf>
    <xf numFmtId="0" fontId="0" fillId="0" borderId="1" xfId="0" applyBorder="1" applyAlignment="1">
      <alignment horizontal="center"/>
    </xf>
    <xf numFmtId="0" fontId="0" fillId="0" borderId="6" xfId="0" applyBorder="1" applyAlignment="1">
      <alignment horizontal="center"/>
    </xf>
    <xf numFmtId="0" fontId="4" fillId="0" borderId="0" xfId="3" applyFont="1"/>
    <xf numFmtId="0" fontId="5" fillId="0" borderId="0" xfId="0" applyFont="1"/>
    <xf numFmtId="0" fontId="6" fillId="0" borderId="0" xfId="0" applyFont="1"/>
    <xf numFmtId="3" fontId="6" fillId="0" borderId="0" xfId="0" applyNumberFormat="1" applyFont="1"/>
    <xf numFmtId="9" fontId="6" fillId="0" borderId="0" xfId="0" applyNumberFormat="1" applyFont="1"/>
    <xf numFmtId="165" fontId="6" fillId="0" borderId="0" xfId="0" applyNumberFormat="1" applyFont="1"/>
    <xf numFmtId="3" fontId="5" fillId="0" borderId="0" xfId="0" applyNumberFormat="1" applyFont="1"/>
    <xf numFmtId="4" fontId="6" fillId="0" borderId="0" xfId="0" applyNumberFormat="1" applyFont="1"/>
    <xf numFmtId="166" fontId="6" fillId="0" borderId="0" xfId="0" applyNumberFormat="1" applyFont="1"/>
    <xf numFmtId="167" fontId="6" fillId="0" borderId="0" xfId="2" applyNumberFormat="1" applyFont="1"/>
    <xf numFmtId="9" fontId="6" fillId="0" borderId="0" xfId="2" applyFont="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left"/>
    </xf>
    <xf numFmtId="0" fontId="0" fillId="0" borderId="5" xfId="0" applyBorder="1" applyAlignment="1">
      <alignment horizontal="left"/>
    </xf>
    <xf numFmtId="168" fontId="6" fillId="0" borderId="0" xfId="1" applyNumberFormat="1" applyFont="1"/>
    <xf numFmtId="168" fontId="5" fillId="0" borderId="0" xfId="1" applyNumberFormat="1" applyFont="1"/>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GB"/>
              <a:t>Car Deliveries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'model (2)'!$A$41</c:f>
              <c:strCache>
                <c:ptCount val="1"/>
                <c:pt idx="0">
                  <c:v>Model 3/Y</c:v>
                </c:pt>
              </c:strCache>
            </c:strRef>
          </c:tx>
          <c:spPr>
            <a:ln w="22225" cap="rnd" cmpd="sng" algn="ctr">
              <a:solidFill>
                <a:schemeClr val="accent1"/>
              </a:solidFill>
              <a:round/>
            </a:ln>
            <a:effectLst/>
          </c:spPr>
          <c:marker>
            <c:symbol val="none"/>
          </c:marker>
          <c:cat>
            <c:strRef>
              <c:f>'model (2)'!$B$1:$O$1</c:f>
              <c:strCache>
                <c:ptCount val="14"/>
                <c:pt idx="0">
                  <c:v>Q1 2021</c:v>
                </c:pt>
                <c:pt idx="1">
                  <c:v>Q2 2021</c:v>
                </c:pt>
                <c:pt idx="2">
                  <c:v>Q3 2021</c:v>
                </c:pt>
                <c:pt idx="3">
                  <c:v>Q4 2021</c:v>
                </c:pt>
                <c:pt idx="4">
                  <c:v>Q1 2022</c:v>
                </c:pt>
                <c:pt idx="5">
                  <c:v>Q2 2022</c:v>
                </c:pt>
                <c:pt idx="6">
                  <c:v>Q3 2022</c:v>
                </c:pt>
                <c:pt idx="7">
                  <c:v>Q4 2022</c:v>
                </c:pt>
                <c:pt idx="8">
                  <c:v>Q1 2023</c:v>
                </c:pt>
                <c:pt idx="9">
                  <c:v>Q2 2023</c:v>
                </c:pt>
                <c:pt idx="10">
                  <c:v>Q3 2023</c:v>
                </c:pt>
                <c:pt idx="11">
                  <c:v>Q4 2023</c:v>
                </c:pt>
                <c:pt idx="12">
                  <c:v>Q1 2024</c:v>
                </c:pt>
                <c:pt idx="13">
                  <c:v>Q2 2024</c:v>
                </c:pt>
              </c:strCache>
            </c:strRef>
          </c:cat>
          <c:val>
            <c:numRef>
              <c:f>'model (2)'!$B$41:$O$41</c:f>
              <c:numCache>
                <c:formatCode>#,##0</c:formatCode>
                <c:ptCount val="14"/>
                <c:pt idx="0">
                  <c:v>182780</c:v>
                </c:pt>
                <c:pt idx="1">
                  <c:v>199360</c:v>
                </c:pt>
                <c:pt idx="2">
                  <c:v>325158</c:v>
                </c:pt>
                <c:pt idx="3">
                  <c:v>296850</c:v>
                </c:pt>
                <c:pt idx="4">
                  <c:v>295324</c:v>
                </c:pt>
                <c:pt idx="5">
                  <c:v>238533</c:v>
                </c:pt>
                <c:pt idx="6">
                  <c:v>325158</c:v>
                </c:pt>
                <c:pt idx="7">
                  <c:v>388131</c:v>
                </c:pt>
                <c:pt idx="8">
                  <c:v>412180</c:v>
                </c:pt>
                <c:pt idx="9">
                  <c:v>446915</c:v>
                </c:pt>
                <c:pt idx="10">
                  <c:v>419074</c:v>
                </c:pt>
                <c:pt idx="11">
                  <c:v>461538</c:v>
                </c:pt>
                <c:pt idx="12">
                  <c:v>369783</c:v>
                </c:pt>
                <c:pt idx="13">
                  <c:v>422405</c:v>
                </c:pt>
              </c:numCache>
            </c:numRef>
          </c:val>
          <c:smooth val="0"/>
          <c:extLst>
            <c:ext xmlns:c16="http://schemas.microsoft.com/office/drawing/2014/chart" uri="{C3380CC4-5D6E-409C-BE32-E72D297353CC}">
              <c16:uniqueId val="{00000000-79C6-4655-BD9D-214E9036CEF0}"/>
            </c:ext>
          </c:extLst>
        </c:ser>
        <c:ser>
          <c:idx val="1"/>
          <c:order val="1"/>
          <c:tx>
            <c:strRef>
              <c:f>'model (2)'!$A$42</c:f>
              <c:strCache>
                <c:ptCount val="1"/>
                <c:pt idx="0">
                  <c:v>Model S/X/CyberTruck</c:v>
                </c:pt>
              </c:strCache>
            </c:strRef>
          </c:tx>
          <c:spPr>
            <a:ln w="22225" cap="rnd" cmpd="sng" algn="ctr">
              <a:solidFill>
                <a:schemeClr val="accent2"/>
              </a:solidFill>
              <a:round/>
            </a:ln>
            <a:effectLst/>
          </c:spPr>
          <c:marker>
            <c:symbol val="none"/>
          </c:marker>
          <c:cat>
            <c:strRef>
              <c:f>'model (2)'!$B$1:$O$1</c:f>
              <c:strCache>
                <c:ptCount val="14"/>
                <c:pt idx="0">
                  <c:v>Q1 2021</c:v>
                </c:pt>
                <c:pt idx="1">
                  <c:v>Q2 2021</c:v>
                </c:pt>
                <c:pt idx="2">
                  <c:v>Q3 2021</c:v>
                </c:pt>
                <c:pt idx="3">
                  <c:v>Q4 2021</c:v>
                </c:pt>
                <c:pt idx="4">
                  <c:v>Q1 2022</c:v>
                </c:pt>
                <c:pt idx="5">
                  <c:v>Q2 2022</c:v>
                </c:pt>
                <c:pt idx="6">
                  <c:v>Q3 2022</c:v>
                </c:pt>
                <c:pt idx="7">
                  <c:v>Q4 2022</c:v>
                </c:pt>
                <c:pt idx="8">
                  <c:v>Q1 2023</c:v>
                </c:pt>
                <c:pt idx="9">
                  <c:v>Q2 2023</c:v>
                </c:pt>
                <c:pt idx="10">
                  <c:v>Q3 2023</c:v>
                </c:pt>
                <c:pt idx="11">
                  <c:v>Q4 2023</c:v>
                </c:pt>
                <c:pt idx="12">
                  <c:v>Q1 2024</c:v>
                </c:pt>
                <c:pt idx="13">
                  <c:v>Q2 2024</c:v>
                </c:pt>
              </c:strCache>
            </c:strRef>
          </c:cat>
          <c:val>
            <c:numRef>
              <c:f>'model (2)'!$B$42:$O$42</c:f>
              <c:numCache>
                <c:formatCode>#,##0</c:formatCode>
                <c:ptCount val="14"/>
                <c:pt idx="0">
                  <c:v>2020</c:v>
                </c:pt>
                <c:pt idx="1">
                  <c:v>1890</c:v>
                </c:pt>
                <c:pt idx="2">
                  <c:v>18672</c:v>
                </c:pt>
                <c:pt idx="3">
                  <c:v>11750</c:v>
                </c:pt>
                <c:pt idx="4">
                  <c:v>14724</c:v>
                </c:pt>
                <c:pt idx="5">
                  <c:v>16162</c:v>
                </c:pt>
                <c:pt idx="6">
                  <c:v>18672</c:v>
                </c:pt>
                <c:pt idx="7">
                  <c:v>17147</c:v>
                </c:pt>
                <c:pt idx="8">
                  <c:v>10695</c:v>
                </c:pt>
                <c:pt idx="9">
                  <c:v>19225</c:v>
                </c:pt>
                <c:pt idx="10">
                  <c:v>15985</c:v>
                </c:pt>
                <c:pt idx="11">
                  <c:v>22969</c:v>
                </c:pt>
                <c:pt idx="12">
                  <c:v>17027</c:v>
                </c:pt>
                <c:pt idx="13">
                  <c:v>21551</c:v>
                </c:pt>
              </c:numCache>
            </c:numRef>
          </c:val>
          <c:smooth val="0"/>
          <c:extLst>
            <c:ext xmlns:c16="http://schemas.microsoft.com/office/drawing/2014/chart" uri="{C3380CC4-5D6E-409C-BE32-E72D297353CC}">
              <c16:uniqueId val="{00000001-79C6-4655-BD9D-214E9036CEF0}"/>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694125184"/>
        <c:axId val="287464944"/>
      </c:lineChart>
      <c:catAx>
        <c:axId val="69412518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87464944"/>
        <c:crosses val="autoZero"/>
        <c:auto val="1"/>
        <c:lblAlgn val="ctr"/>
        <c:lblOffset val="100"/>
        <c:noMultiLvlLbl val="0"/>
      </c:catAx>
      <c:valAx>
        <c:axId val="28746494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9412518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'model (2)'!$A$50</c:f>
              <c:strCache>
                <c:ptCount val="1"/>
                <c:pt idx="0">
                  <c:v>Revenue by Vehicle</c:v>
                </c:pt>
              </c:strCache>
            </c:strRef>
          </c:tx>
          <c:spPr>
            <a:ln w="22225" cap="rnd" cmpd="sng" algn="ctr">
              <a:solidFill>
                <a:schemeClr val="accent1"/>
              </a:solidFill>
              <a:round/>
            </a:ln>
            <a:effectLst/>
          </c:spPr>
          <c:marker>
            <c:symbol val="none"/>
          </c:marker>
          <c:cat>
            <c:strRef>
              <c:f>'model (2)'!$B$1:$O$1</c:f>
              <c:strCache>
                <c:ptCount val="14"/>
                <c:pt idx="0">
                  <c:v>Q1 2021</c:v>
                </c:pt>
                <c:pt idx="1">
                  <c:v>Q2 2021</c:v>
                </c:pt>
                <c:pt idx="2">
                  <c:v>Q3 2021</c:v>
                </c:pt>
                <c:pt idx="3">
                  <c:v>Q4 2021</c:v>
                </c:pt>
                <c:pt idx="4">
                  <c:v>Q1 2022</c:v>
                </c:pt>
                <c:pt idx="5">
                  <c:v>Q2 2022</c:v>
                </c:pt>
                <c:pt idx="6">
                  <c:v>Q3 2022</c:v>
                </c:pt>
                <c:pt idx="7">
                  <c:v>Q4 2022</c:v>
                </c:pt>
                <c:pt idx="8">
                  <c:v>Q1 2023</c:v>
                </c:pt>
                <c:pt idx="9">
                  <c:v>Q2 2023</c:v>
                </c:pt>
                <c:pt idx="10">
                  <c:v>Q3 2023</c:v>
                </c:pt>
                <c:pt idx="11">
                  <c:v>Q4 2023</c:v>
                </c:pt>
                <c:pt idx="12">
                  <c:v>Q1 2024</c:v>
                </c:pt>
                <c:pt idx="13">
                  <c:v>Q2 2024</c:v>
                </c:pt>
              </c:strCache>
            </c:strRef>
          </c:cat>
          <c:val>
            <c:numRef>
              <c:f>'model (2)'!$B$50:$O$50</c:f>
              <c:numCache>
                <c:formatCode>_-[$$-409]* #\ ##0.00_ ;_-[$$-409]* \-#\ ##0.00\ ;_-[$$-409]* "-"??_ ;_-@_ </c:formatCode>
                <c:ptCount val="14"/>
                <c:pt idx="0">
                  <c:v>56217.532467532466</c:v>
                </c:pt>
                <c:pt idx="1">
                  <c:v>59418.63354037267</c:v>
                </c:pt>
                <c:pt idx="2">
                  <c:v>40011.051973358924</c:v>
                </c:pt>
                <c:pt idx="3">
                  <c:v>57417.368762151651</c:v>
                </c:pt>
                <c:pt idx="4">
                  <c:v>60493.859015378264</c:v>
                </c:pt>
                <c:pt idx="5">
                  <c:v>66487.367243173212</c:v>
                </c:pt>
                <c:pt idx="6">
                  <c:v>62397.114853270512</c:v>
                </c:pt>
                <c:pt idx="7">
                  <c:v>60003.25702357394</c:v>
                </c:pt>
                <c:pt idx="8">
                  <c:v>55167.60271947975</c:v>
                </c:pt>
                <c:pt idx="9">
                  <c:v>53475.350752992665</c:v>
                </c:pt>
                <c:pt idx="10">
                  <c:v>53670.881420680875</c:v>
                </c:pt>
                <c:pt idx="11">
                  <c:v>51943.52197181878</c:v>
                </c:pt>
                <c:pt idx="12">
                  <c:v>55068.379824720148</c:v>
                </c:pt>
                <c:pt idx="13">
                  <c:v>57438.124498824211</c:v>
                </c:pt>
              </c:numCache>
            </c:numRef>
          </c:val>
          <c:smooth val="0"/>
          <c:extLst>
            <c:ext xmlns:c16="http://schemas.microsoft.com/office/drawing/2014/chart" uri="{C3380CC4-5D6E-409C-BE32-E72D297353CC}">
              <c16:uniqueId val="{00000000-F854-4FD6-8FF8-9EF101759EB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315982592"/>
        <c:axId val="193240448"/>
      </c:lineChart>
      <c:catAx>
        <c:axId val="31598259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3240448"/>
        <c:crosses val="autoZero"/>
        <c:auto val="1"/>
        <c:lblAlgn val="ctr"/>
        <c:lblOffset val="100"/>
        <c:noMultiLvlLbl val="0"/>
      </c:catAx>
      <c:valAx>
        <c:axId val="193240448"/>
        <c:scaling>
          <c:orientation val="minMax"/>
        </c:scaling>
        <c:delete val="0"/>
        <c:axPos val="l"/>
        <c:numFmt formatCode="_-[$$-409]* #\ ##0.00_ ;_-[$$-409]* \-#\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15982592"/>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Revenue by Geography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78E-422B-97BB-00C43CB791F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78E-422B-97BB-00C43CB791F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78E-422B-97BB-00C43CB791F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'model (2)'!$A$46:$A$48</c:f>
              <c:strCache>
                <c:ptCount val="3"/>
                <c:pt idx="0">
                  <c:v>US</c:v>
                </c:pt>
                <c:pt idx="1">
                  <c:v>China</c:v>
                </c:pt>
                <c:pt idx="2">
                  <c:v>Other</c:v>
                </c:pt>
              </c:strCache>
            </c:strRef>
          </c:cat>
          <c:val>
            <c:numRef>
              <c:f>'model (2)'!$S$46:$S$48</c:f>
              <c:numCache>
                <c:formatCode>_-[$$-409]* #\ ##0_ ;_-[$$-409]* \-#\ ##0\ ;_-[$$-409]* "-"??_ ;_-@_ </c:formatCode>
                <c:ptCount val="3"/>
                <c:pt idx="0">
                  <c:v>45235</c:v>
                </c:pt>
                <c:pt idx="1">
                  <c:v>21745</c:v>
                </c:pt>
                <c:pt idx="2">
                  <c:v>29793</c:v>
                </c:pt>
              </c:numCache>
            </c:numRef>
          </c:val>
          <c:extLst>
            <c:ext xmlns:c16="http://schemas.microsoft.com/office/drawing/2014/chart" uri="{C3380CC4-5D6E-409C-BE32-E72D297353CC}">
              <c16:uniqueId val="{00000006-278E-422B-97BB-00C43CB791F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22860</xdr:colOff>
      <xdr:row>0</xdr:row>
      <xdr:rowOff>1905</xdr:rowOff>
    </xdr:from>
    <xdr:to>
      <xdr:col>11</xdr:col>
      <xdr:colOff>327660</xdr:colOff>
      <xdr:row>14</xdr:row>
      <xdr:rowOff>78105</xdr:rowOff>
    </xdr:to>
    <xdr:graphicFrame macro="">
      <xdr:nvGraphicFramePr>
        <xdr:cNvPr id="2" name="Chart 1">
          <a:extLst>
            <a:ext uri="{FF2B5EF4-FFF2-40B4-BE49-F238E27FC236}">
              <a16:creationId xmlns:a16="http://schemas.microsoft.com/office/drawing/2014/main" id="{DE555145-B021-4FAE-9A0B-DEEADECA94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15</xdr:row>
      <xdr:rowOff>123825</xdr:rowOff>
    </xdr:from>
    <xdr:to>
      <xdr:col>11</xdr:col>
      <xdr:colOff>314325</xdr:colOff>
      <xdr:row>30</xdr:row>
      <xdr:rowOff>9525</xdr:rowOff>
    </xdr:to>
    <xdr:graphicFrame macro="">
      <xdr:nvGraphicFramePr>
        <xdr:cNvPr id="4" name="Chart 3">
          <a:extLst>
            <a:ext uri="{FF2B5EF4-FFF2-40B4-BE49-F238E27FC236}">
              <a16:creationId xmlns:a16="http://schemas.microsoft.com/office/drawing/2014/main" id="{84203BC0-4B80-4BB1-9380-B281618ADA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0</xdr:row>
      <xdr:rowOff>0</xdr:rowOff>
    </xdr:from>
    <xdr:to>
      <xdr:col>20</xdr:col>
      <xdr:colOff>304800</xdr:colOff>
      <xdr:row>14</xdr:row>
      <xdr:rowOff>76200</xdr:rowOff>
    </xdr:to>
    <xdr:graphicFrame macro="">
      <xdr:nvGraphicFramePr>
        <xdr:cNvPr id="5" name="Chart 4">
          <a:extLst>
            <a:ext uri="{FF2B5EF4-FFF2-40B4-BE49-F238E27FC236}">
              <a16:creationId xmlns:a16="http://schemas.microsoft.com/office/drawing/2014/main" id="{28842A07-F86F-4746-BC5E-EAEF61CB66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869156</xdr:colOff>
      <xdr:row>0</xdr:row>
      <xdr:rowOff>11906</xdr:rowOff>
    </xdr:from>
    <xdr:to>
      <xdr:col>19</xdr:col>
      <xdr:colOff>11906</xdr:colOff>
      <xdr:row>53</xdr:row>
      <xdr:rowOff>178594</xdr:rowOff>
    </xdr:to>
    <xdr:cxnSp macro="">
      <xdr:nvCxnSpPr>
        <xdr:cNvPr id="2" name="Straight Connector 1">
          <a:extLst>
            <a:ext uri="{FF2B5EF4-FFF2-40B4-BE49-F238E27FC236}">
              <a16:creationId xmlns:a16="http://schemas.microsoft.com/office/drawing/2014/main" id="{7383CEF2-0D9C-4A8D-A370-196E1BD5CD5C}"/>
            </a:ext>
          </a:extLst>
        </xdr:cNvPr>
        <xdr:cNvCxnSpPr/>
      </xdr:nvCxnSpPr>
      <xdr:spPr>
        <a:xfrm flipH="1">
          <a:off x="15490031" y="11906"/>
          <a:ext cx="28575" cy="98821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0</xdr:row>
      <xdr:rowOff>27214</xdr:rowOff>
    </xdr:from>
    <xdr:to>
      <xdr:col>15</xdr:col>
      <xdr:colOff>27215</xdr:colOff>
      <xdr:row>83</xdr:row>
      <xdr:rowOff>176893</xdr:rowOff>
    </xdr:to>
    <xdr:cxnSp macro="">
      <xdr:nvCxnSpPr>
        <xdr:cNvPr id="4" name="Straight Connector 3">
          <a:extLst>
            <a:ext uri="{FF2B5EF4-FFF2-40B4-BE49-F238E27FC236}">
              <a16:creationId xmlns:a16="http://schemas.microsoft.com/office/drawing/2014/main" id="{1A9C04F9-86D2-9ED5-9059-BDDFF7DEC87B}"/>
            </a:ext>
          </a:extLst>
        </xdr:cNvPr>
        <xdr:cNvCxnSpPr/>
      </xdr:nvCxnSpPr>
      <xdr:spPr>
        <a:xfrm>
          <a:off x="14600464" y="27214"/>
          <a:ext cx="27215" cy="1558017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en-GB</v>
    <v>a24kar</v>
    <v>268435456</v>
    <v>1</v>
    <v>Powered by Refinitiv</v>
    <v>0</v>
    <v>TESLA, INC. (XNAS:TSLA)</v>
    <v>2</v>
    <v>3</v>
    <v>Finance</v>
    <v>4</v>
    <v>271</v>
    <v>138.80250000000001</v>
    <v>2.2894000000000001</v>
    <v>-9</v>
    <v>-6.9046999999999997E-2</v>
    <v>-3.4881000000000002E-2</v>
    <v>-17.194099999999999</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251.1585</v>
    <v>Automobiles &amp; Auto Parts</v>
    <v>Stock</v>
    <v>45567.892071943752</v>
    <v>0</v>
    <v>241.5</v>
    <v>794173587920</v>
    <v>TESLA, INC.</v>
    <v>TESLA, INC.</v>
    <v>247.55</v>
    <v>70.000600000000006</v>
    <v>258.02</v>
    <v>249.02</v>
    <v>231.82589999999999</v>
    <v>3189196000</v>
    <v>TSLA</v>
    <v>TESLA, INC. (XNAS:TSLA)</v>
    <v>93722006</v>
    <v>78058234</v>
    <v>2024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03D5F-EC23-4CF6-8CFB-DC4AFAAE936A}">
  <dimension ref="A1:M55"/>
  <sheetViews>
    <sheetView showGridLines="0" zoomScale="80" zoomScaleNormal="80" workbookViewId="0">
      <selection activeCell="B58" sqref="B58"/>
    </sheetView>
  </sheetViews>
  <sheetFormatPr defaultRowHeight="14.4" x14ac:dyDescent="0.3"/>
  <cols>
    <col min="1" max="1" width="14" customWidth="1"/>
    <col min="2" max="2" width="16.33203125" customWidth="1"/>
    <col min="3" max="3" width="11.5546875" customWidth="1"/>
    <col min="7" max="7" width="11.109375" customWidth="1"/>
    <col min="8" max="8" width="14" customWidth="1"/>
    <col min="9" max="9" width="11.44140625" customWidth="1"/>
    <col min="10" max="10" width="14.5546875" customWidth="1"/>
    <col min="11" max="11" width="14.33203125" customWidth="1"/>
    <col min="12" max="12" width="12" customWidth="1"/>
  </cols>
  <sheetData>
    <row r="1" spans="1:3" x14ac:dyDescent="0.3">
      <c r="A1" t="s">
        <v>0</v>
      </c>
      <c r="B1" t="e" vm="1">
        <v>#VALUE!</v>
      </c>
    </row>
    <row r="2" spans="1:3" x14ac:dyDescent="0.3">
      <c r="A2" t="s">
        <v>1</v>
      </c>
      <c r="B2" s="1" cm="1">
        <f t="array" ref="B2">_FV(B1,"Price")</f>
        <v>249.02</v>
      </c>
    </row>
    <row r="3" spans="1:3" x14ac:dyDescent="0.3">
      <c r="A3" t="s">
        <v>2</v>
      </c>
      <c r="B3" s="4">
        <v>3481</v>
      </c>
      <c r="C3" t="s">
        <v>98</v>
      </c>
    </row>
    <row r="4" spans="1:3" x14ac:dyDescent="0.3">
      <c r="A4" t="s">
        <v>3</v>
      </c>
      <c r="B4" s="4">
        <f>B2*B3</f>
        <v>866838.62</v>
      </c>
    </row>
    <row r="5" spans="1:3" x14ac:dyDescent="0.3">
      <c r="A5" t="s">
        <v>4</v>
      </c>
      <c r="B5" s="4">
        <f>30720</f>
        <v>30720</v>
      </c>
      <c r="C5" t="s">
        <v>98</v>
      </c>
    </row>
    <row r="6" spans="1:3" x14ac:dyDescent="0.3">
      <c r="A6" t="s">
        <v>5</v>
      </c>
      <c r="B6" s="4">
        <f>2264+5481</f>
        <v>7745</v>
      </c>
      <c r="C6" t="s">
        <v>98</v>
      </c>
    </row>
    <row r="7" spans="1:3" x14ac:dyDescent="0.3">
      <c r="A7" t="s">
        <v>6</v>
      </c>
      <c r="B7" s="2">
        <f>B4-B5+B6</f>
        <v>843863.62</v>
      </c>
    </row>
    <row r="10" spans="1:3" x14ac:dyDescent="0.3">
      <c r="A10" t="s">
        <v>112</v>
      </c>
      <c r="B10" s="7" t="s">
        <v>113</v>
      </c>
    </row>
    <row r="11" spans="1:3" x14ac:dyDescent="0.3">
      <c r="A11" t="s">
        <v>114</v>
      </c>
      <c r="B11" s="6">
        <v>0.20499999999999999</v>
      </c>
    </row>
    <row r="12" spans="1:3" x14ac:dyDescent="0.3">
      <c r="A12" t="s">
        <v>115</v>
      </c>
      <c r="B12">
        <v>2003</v>
      </c>
    </row>
    <row r="13" spans="1:3" x14ac:dyDescent="0.3">
      <c r="A13" t="s">
        <v>116</v>
      </c>
      <c r="B13" t="s">
        <v>117</v>
      </c>
    </row>
    <row r="33" spans="1:13" x14ac:dyDescent="0.3">
      <c r="A33" s="3" t="s">
        <v>91</v>
      </c>
      <c r="C33" s="8" t="s">
        <v>118</v>
      </c>
      <c r="D33" s="8">
        <v>3</v>
      </c>
      <c r="E33" s="8" t="s">
        <v>119</v>
      </c>
      <c r="F33" s="8" t="s">
        <v>92</v>
      </c>
      <c r="G33" s="8" t="s">
        <v>120</v>
      </c>
      <c r="H33" s="8" t="s">
        <v>121</v>
      </c>
      <c r="I33" s="8" t="s">
        <v>122</v>
      </c>
      <c r="J33" s="8" t="s">
        <v>123</v>
      </c>
      <c r="K33" s="8" t="s">
        <v>124</v>
      </c>
      <c r="L33" s="8" t="s">
        <v>125</v>
      </c>
      <c r="M33" s="9"/>
    </row>
    <row r="34" spans="1:13" x14ac:dyDescent="0.3">
      <c r="A34" s="24" t="s">
        <v>85</v>
      </c>
      <c r="B34" s="25"/>
      <c r="C34" s="8"/>
      <c r="D34" s="8"/>
      <c r="E34" s="8"/>
      <c r="F34" s="8" t="s">
        <v>119</v>
      </c>
      <c r="G34" s="8" t="s">
        <v>119</v>
      </c>
      <c r="H34" s="8"/>
      <c r="I34" s="8"/>
      <c r="J34" s="8"/>
      <c r="K34" s="8"/>
      <c r="L34" s="8"/>
      <c r="M34" t="s">
        <v>128</v>
      </c>
    </row>
    <row r="35" spans="1:13" x14ac:dyDescent="0.3">
      <c r="A35" s="24" t="s">
        <v>89</v>
      </c>
      <c r="B35" s="25"/>
      <c r="C35" s="8" t="s">
        <v>119</v>
      </c>
      <c r="D35" s="8" t="s">
        <v>119</v>
      </c>
      <c r="E35" s="8" t="s">
        <v>119</v>
      </c>
      <c r="F35" s="8" t="s">
        <v>119</v>
      </c>
      <c r="G35" s="8"/>
      <c r="H35" s="8"/>
      <c r="I35" s="8"/>
      <c r="J35" s="8"/>
      <c r="K35" s="8"/>
      <c r="L35" s="8"/>
      <c r="M35" t="s">
        <v>126</v>
      </c>
    </row>
    <row r="36" spans="1:13" x14ac:dyDescent="0.3">
      <c r="A36" s="24" t="s">
        <v>86</v>
      </c>
      <c r="B36" s="25"/>
      <c r="C36" s="8"/>
      <c r="D36" s="8"/>
      <c r="E36" s="8"/>
      <c r="F36" s="8"/>
      <c r="G36" s="8"/>
      <c r="H36" s="8" t="s">
        <v>119</v>
      </c>
      <c r="I36" s="8" t="s">
        <v>119</v>
      </c>
      <c r="J36" s="8" t="s">
        <v>119</v>
      </c>
      <c r="K36" s="8"/>
      <c r="L36" s="8"/>
    </row>
    <row r="37" spans="1:13" x14ac:dyDescent="0.3">
      <c r="A37" s="24" t="s">
        <v>87</v>
      </c>
      <c r="B37" s="25"/>
      <c r="C37" s="8"/>
      <c r="D37" s="8"/>
      <c r="E37" s="8"/>
      <c r="F37" s="8" t="s">
        <v>119</v>
      </c>
      <c r="G37" s="8"/>
      <c r="H37" s="8"/>
      <c r="I37" s="8"/>
      <c r="J37" s="8"/>
      <c r="K37" s="8"/>
      <c r="L37" s="8"/>
      <c r="M37" t="s">
        <v>130</v>
      </c>
    </row>
    <row r="38" spans="1:13" x14ac:dyDescent="0.3">
      <c r="A38" s="24" t="s">
        <v>88</v>
      </c>
      <c r="B38" s="25"/>
      <c r="C38" s="8"/>
      <c r="D38" s="8" t="s">
        <v>119</v>
      </c>
      <c r="E38" s="8"/>
      <c r="F38" s="8" t="s">
        <v>119</v>
      </c>
      <c r="G38" s="8"/>
      <c r="H38" s="8"/>
      <c r="I38" s="8"/>
      <c r="J38" s="8"/>
      <c r="K38" s="8"/>
      <c r="L38" s="8"/>
      <c r="M38" t="s">
        <v>129</v>
      </c>
    </row>
    <row r="39" spans="1:13" x14ac:dyDescent="0.3">
      <c r="A39" s="24" t="s">
        <v>90</v>
      </c>
      <c r="B39" s="25"/>
      <c r="C39" s="8"/>
      <c r="D39" s="8"/>
      <c r="E39" s="8"/>
      <c r="F39" s="8"/>
      <c r="G39" s="8"/>
      <c r="H39" s="8"/>
      <c r="I39" s="8"/>
      <c r="J39" s="8"/>
      <c r="K39" s="8"/>
      <c r="L39" s="8" t="s">
        <v>119</v>
      </c>
    </row>
    <row r="40" spans="1:13" x14ac:dyDescent="0.3">
      <c r="A40" s="24" t="s">
        <v>93</v>
      </c>
      <c r="B40" s="25"/>
      <c r="C40" s="21" t="s">
        <v>127</v>
      </c>
      <c r="D40" s="22"/>
      <c r="E40" s="22"/>
      <c r="F40" s="22"/>
      <c r="G40" s="22"/>
      <c r="H40" s="22"/>
      <c r="I40" s="22"/>
      <c r="J40" s="22"/>
      <c r="K40" s="22"/>
      <c r="L40" s="23"/>
      <c r="M40" t="s">
        <v>131</v>
      </c>
    </row>
    <row r="42" spans="1:13" x14ac:dyDescent="0.3">
      <c r="A42" t="s">
        <v>99</v>
      </c>
    </row>
    <row r="44" spans="1:13" x14ac:dyDescent="0.3">
      <c r="A44" s="3" t="s">
        <v>103</v>
      </c>
    </row>
    <row r="45" spans="1:13" x14ac:dyDescent="0.3">
      <c r="A45" t="s">
        <v>100</v>
      </c>
      <c r="B45" s="5">
        <v>0.2</v>
      </c>
    </row>
    <row r="46" spans="1:13" x14ac:dyDescent="0.3">
      <c r="A46" t="s">
        <v>101</v>
      </c>
      <c r="B46" s="5">
        <v>0.15</v>
      </c>
    </row>
    <row r="47" spans="1:13" x14ac:dyDescent="0.3">
      <c r="A47" t="s">
        <v>102</v>
      </c>
      <c r="B47" s="5">
        <v>0.08</v>
      </c>
    </row>
    <row r="48" spans="1:13" x14ac:dyDescent="0.3">
      <c r="A48" t="s">
        <v>104</v>
      </c>
      <c r="B48" s="5">
        <f>1-B45-B46-B47</f>
        <v>0.57000000000000006</v>
      </c>
    </row>
    <row r="50" spans="1:1" x14ac:dyDescent="0.3">
      <c r="A50" s="3" t="s">
        <v>106</v>
      </c>
    </row>
    <row r="51" spans="1:1" x14ac:dyDescent="0.3">
      <c r="A51" t="s">
        <v>107</v>
      </c>
    </row>
    <row r="52" spans="1:1" x14ac:dyDescent="0.3">
      <c r="A52" t="s">
        <v>108</v>
      </c>
    </row>
    <row r="53" spans="1:1" x14ac:dyDescent="0.3">
      <c r="A53" t="s">
        <v>109</v>
      </c>
    </row>
    <row r="54" spans="1:1" x14ac:dyDescent="0.3">
      <c r="A54" t="s">
        <v>110</v>
      </c>
    </row>
    <row r="55" spans="1:1" x14ac:dyDescent="0.3">
      <c r="A55" t="s">
        <v>111</v>
      </c>
    </row>
  </sheetData>
  <mergeCells count="8">
    <mergeCell ref="C40:L40"/>
    <mergeCell ref="A34:B34"/>
    <mergeCell ref="A35:B35"/>
    <mergeCell ref="A36:B36"/>
    <mergeCell ref="A37:B37"/>
    <mergeCell ref="A38:B38"/>
    <mergeCell ref="A39:B39"/>
    <mergeCell ref="A40:B4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86679-2A88-459F-A307-6768D3575F04}">
  <dimension ref="A1:CB77"/>
  <sheetViews>
    <sheetView tabSelected="1" zoomScale="70" zoomScaleNormal="70" workbookViewId="0">
      <pane xSplit="1" ySplit="1" topLeftCell="K2" activePane="bottomRight" state="frozen"/>
      <selection pane="topRight" activeCell="B1" sqref="B1"/>
      <selection pane="bottomLeft" activeCell="A2" sqref="A2"/>
      <selection pane="bottomRight" activeCell="AB8" sqref="AB8"/>
    </sheetView>
  </sheetViews>
  <sheetFormatPr defaultRowHeight="13.2" x14ac:dyDescent="0.25"/>
  <cols>
    <col min="1" max="1" width="28.6640625" style="12" bestFit="1" customWidth="1"/>
    <col min="2" max="3" width="13.5546875" style="12" bestFit="1" customWidth="1"/>
    <col min="4" max="4" width="13.109375" style="12" bestFit="1" customWidth="1"/>
    <col min="5" max="12" width="13.5546875" style="12" bestFit="1" customWidth="1"/>
    <col min="13" max="13" width="13.109375" style="12" bestFit="1" customWidth="1"/>
    <col min="14" max="15" width="13.5546875" style="12" bestFit="1" customWidth="1"/>
    <col min="16" max="16" width="8.88671875" style="12"/>
    <col min="17" max="19" width="13.33203125" style="12" bestFit="1" customWidth="1"/>
    <col min="20" max="20" width="15.88671875" style="12" bestFit="1" customWidth="1"/>
    <col min="21" max="26" width="13.5546875" style="12" bestFit="1" customWidth="1"/>
    <col min="27" max="27" width="8.88671875" style="12"/>
    <col min="28" max="28" width="15" style="12" bestFit="1" customWidth="1"/>
    <col min="29" max="29" width="14.88671875" style="12" bestFit="1" customWidth="1"/>
    <col min="30" max="16384" width="8.88671875" style="12"/>
  </cols>
  <sheetData>
    <row r="1" spans="1:29" x14ac:dyDescent="0.25">
      <c r="A1" s="10" t="s">
        <v>61</v>
      </c>
      <c r="B1" s="11" t="s">
        <v>22</v>
      </c>
      <c r="C1" s="11" t="s">
        <v>23</v>
      </c>
      <c r="D1" s="11" t="s">
        <v>58</v>
      </c>
      <c r="E1" s="11" t="s">
        <v>59</v>
      </c>
      <c r="F1" s="11" t="s">
        <v>14</v>
      </c>
      <c r="G1" s="11" t="s">
        <v>15</v>
      </c>
      <c r="H1" s="11" t="s">
        <v>16</v>
      </c>
      <c r="I1" s="11" t="s">
        <v>17</v>
      </c>
      <c r="J1" s="11" t="s">
        <v>18</v>
      </c>
      <c r="K1" s="11" t="s">
        <v>19</v>
      </c>
      <c r="L1" s="11" t="s">
        <v>20</v>
      </c>
      <c r="M1" s="11" t="s">
        <v>21</v>
      </c>
      <c r="N1" s="11" t="s">
        <v>97</v>
      </c>
      <c r="O1" s="11" t="s">
        <v>98</v>
      </c>
      <c r="P1" s="11"/>
      <c r="Q1" s="11">
        <v>2021</v>
      </c>
      <c r="R1" s="11">
        <v>2022</v>
      </c>
      <c r="S1" s="11">
        <v>2023</v>
      </c>
      <c r="T1" s="11">
        <f>S1+1</f>
        <v>2024</v>
      </c>
      <c r="U1" s="11">
        <f t="shared" ref="U1:Z1" si="0">T1+1</f>
        <v>2025</v>
      </c>
      <c r="V1" s="11">
        <f t="shared" si="0"/>
        <v>2026</v>
      </c>
      <c r="W1" s="11">
        <f t="shared" si="0"/>
        <v>2027</v>
      </c>
      <c r="X1" s="11">
        <f t="shared" si="0"/>
        <v>2028</v>
      </c>
      <c r="Y1" s="11">
        <f t="shared" si="0"/>
        <v>2029</v>
      </c>
      <c r="Z1" s="11">
        <f t="shared" si="0"/>
        <v>2030</v>
      </c>
    </row>
    <row r="2" spans="1:29" x14ac:dyDescent="0.25">
      <c r="A2" s="12" t="s">
        <v>7</v>
      </c>
      <c r="B2" s="13">
        <v>8187</v>
      </c>
      <c r="C2" s="13">
        <v>9520</v>
      </c>
      <c r="D2" s="13">
        <v>11393</v>
      </c>
      <c r="E2" s="13">
        <f>Q2-SUM(B2:D2)</f>
        <v>15025</v>
      </c>
      <c r="F2" s="13">
        <v>15514</v>
      </c>
      <c r="G2" s="13">
        <v>13670</v>
      </c>
      <c r="H2" s="13">
        <v>17785</v>
      </c>
      <c r="I2" s="13">
        <f>R2-SUM(F2:H2)</f>
        <v>20241</v>
      </c>
      <c r="J2" s="13">
        <v>18878</v>
      </c>
      <c r="K2" s="13">
        <v>20419</v>
      </c>
      <c r="L2" s="13">
        <v>18582</v>
      </c>
      <c r="M2" s="13">
        <f>S2-SUM(J2:L2)</f>
        <v>20630</v>
      </c>
      <c r="N2" s="13">
        <v>16460</v>
      </c>
      <c r="O2" s="13">
        <v>18530</v>
      </c>
      <c r="P2" s="13"/>
      <c r="Q2" s="13">
        <v>44125</v>
      </c>
      <c r="R2" s="13">
        <v>67210</v>
      </c>
      <c r="S2" s="13">
        <v>78509</v>
      </c>
      <c r="T2" s="13"/>
      <c r="U2" s="13"/>
      <c r="V2" s="13"/>
      <c r="W2" s="13"/>
      <c r="X2" s="13"/>
      <c r="Y2" s="13"/>
      <c r="Z2" s="13"/>
      <c r="AB2" s="12" t="s">
        <v>94</v>
      </c>
      <c r="AC2" s="14">
        <v>0.08</v>
      </c>
    </row>
    <row r="3" spans="1:29" x14ac:dyDescent="0.25">
      <c r="A3" s="12" t="s">
        <v>8</v>
      </c>
      <c r="B3" s="13">
        <v>518</v>
      </c>
      <c r="C3" s="13">
        <v>354</v>
      </c>
      <c r="D3" s="13">
        <v>279</v>
      </c>
      <c r="E3" s="13">
        <f t="shared" ref="E3:E4" si="1">Q3-SUM(B3:D3)</f>
        <v>314</v>
      </c>
      <c r="F3" s="13">
        <v>679</v>
      </c>
      <c r="G3" s="13">
        <v>344</v>
      </c>
      <c r="H3" s="13">
        <v>286</v>
      </c>
      <c r="I3" s="13">
        <f t="shared" ref="I3:I4" si="2">R3-SUM(F3:H3)</f>
        <v>467</v>
      </c>
      <c r="J3" s="13">
        <v>521</v>
      </c>
      <c r="K3" s="13">
        <v>282</v>
      </c>
      <c r="L3" s="13">
        <v>554</v>
      </c>
      <c r="M3" s="13">
        <f t="shared" ref="M3:M4" si="3">S3-SUM(J3:L3)</f>
        <v>433</v>
      </c>
      <c r="N3" s="13">
        <v>442</v>
      </c>
      <c r="O3" s="13">
        <v>890</v>
      </c>
      <c r="P3" s="13"/>
      <c r="Q3" s="13">
        <v>1465</v>
      </c>
      <c r="R3" s="13">
        <v>1776</v>
      </c>
      <c r="S3" s="13">
        <v>1790</v>
      </c>
      <c r="T3" s="13"/>
      <c r="U3" s="13"/>
      <c r="V3" s="13"/>
      <c r="W3" s="13"/>
      <c r="X3" s="13"/>
      <c r="Y3" s="13"/>
      <c r="Z3" s="13"/>
      <c r="AB3" s="12" t="s">
        <v>95</v>
      </c>
      <c r="AC3" s="14">
        <v>0.02</v>
      </c>
    </row>
    <row r="4" spans="1:29" x14ac:dyDescent="0.25">
      <c r="A4" s="12" t="s">
        <v>9</v>
      </c>
      <c r="B4" s="13">
        <v>297</v>
      </c>
      <c r="C4" s="13">
        <v>332</v>
      </c>
      <c r="D4" s="13">
        <v>385</v>
      </c>
      <c r="E4" s="13">
        <f t="shared" si="1"/>
        <v>628</v>
      </c>
      <c r="F4" s="13">
        <v>668</v>
      </c>
      <c r="G4" s="13">
        <v>588</v>
      </c>
      <c r="H4" s="13">
        <v>621</v>
      </c>
      <c r="I4" s="13">
        <f t="shared" si="2"/>
        <v>599</v>
      </c>
      <c r="J4" s="13">
        <v>564</v>
      </c>
      <c r="K4" s="13">
        <v>567</v>
      </c>
      <c r="L4" s="13">
        <v>489</v>
      </c>
      <c r="M4" s="13">
        <f t="shared" si="3"/>
        <v>500</v>
      </c>
      <c r="N4" s="13">
        <v>476</v>
      </c>
      <c r="O4" s="13">
        <v>458</v>
      </c>
      <c r="P4" s="13"/>
      <c r="Q4" s="13">
        <v>1642</v>
      </c>
      <c r="R4" s="13">
        <v>2476</v>
      </c>
      <c r="S4" s="13">
        <v>2120</v>
      </c>
      <c r="T4" s="13"/>
      <c r="U4" s="13"/>
      <c r="V4" s="13"/>
      <c r="W4" s="13"/>
      <c r="X4" s="13"/>
      <c r="Y4" s="13"/>
      <c r="Z4" s="13"/>
      <c r="AB4" s="12" t="s">
        <v>96</v>
      </c>
      <c r="AC4" s="15">
        <f>NPV(AC2,T25:CB25)</f>
        <v>601833.77254916169</v>
      </c>
    </row>
    <row r="5" spans="1:29" x14ac:dyDescent="0.25">
      <c r="A5" s="12" t="s">
        <v>10</v>
      </c>
      <c r="B5" s="13">
        <f>SUM(B2:B4)</f>
        <v>9002</v>
      </c>
      <c r="C5" s="13">
        <f t="shared" ref="C5:O5" si="4">SUM(C2:C4)</f>
        <v>10206</v>
      </c>
      <c r="D5" s="13">
        <f t="shared" si="4"/>
        <v>12057</v>
      </c>
      <c r="E5" s="13">
        <f t="shared" si="4"/>
        <v>15967</v>
      </c>
      <c r="F5" s="13">
        <f t="shared" si="4"/>
        <v>16861</v>
      </c>
      <c r="G5" s="13">
        <f t="shared" si="4"/>
        <v>14602</v>
      </c>
      <c r="H5" s="13">
        <f t="shared" si="4"/>
        <v>18692</v>
      </c>
      <c r="I5" s="13">
        <f t="shared" si="4"/>
        <v>21307</v>
      </c>
      <c r="J5" s="13">
        <f t="shared" si="4"/>
        <v>19963</v>
      </c>
      <c r="K5" s="13">
        <f t="shared" si="4"/>
        <v>21268</v>
      </c>
      <c r="L5" s="13">
        <f t="shared" si="4"/>
        <v>19625</v>
      </c>
      <c r="M5" s="13">
        <f t="shared" si="4"/>
        <v>21563</v>
      </c>
      <c r="N5" s="13">
        <f t="shared" si="4"/>
        <v>17378</v>
      </c>
      <c r="O5" s="13">
        <f t="shared" si="4"/>
        <v>19878</v>
      </c>
      <c r="P5" s="13"/>
      <c r="Q5" s="13">
        <f t="shared" ref="Q5:S5" si="5">SUM(Q2:Q4)</f>
        <v>47232</v>
      </c>
      <c r="R5" s="13">
        <f t="shared" si="5"/>
        <v>71462</v>
      </c>
      <c r="S5" s="13">
        <f t="shared" si="5"/>
        <v>82419</v>
      </c>
      <c r="T5" s="13">
        <f>(T43*T50)/1000000</f>
        <v>112676.382</v>
      </c>
      <c r="U5" s="13">
        <f t="shared" ref="U5:Z5" si="6">(U43*U50)/1000000</f>
        <v>139389.80737499997</v>
      </c>
      <c r="V5" s="13">
        <f t="shared" si="6"/>
        <v>168159.25832312877</v>
      </c>
      <c r="W5" s="13">
        <f t="shared" si="6"/>
        <v>197755.28778799946</v>
      </c>
      <c r="X5" s="13">
        <f t="shared" si="6"/>
        <v>228549.28215596746</v>
      </c>
      <c r="Y5" s="13">
        <f t="shared" si="6"/>
        <v>264141.32440887624</v>
      </c>
      <c r="Z5" s="13">
        <f t="shared" si="6"/>
        <v>299928.81895572756</v>
      </c>
      <c r="AB5" s="12" t="s">
        <v>64</v>
      </c>
      <c r="AC5" s="15">
        <f>+main!B5-main!B6</f>
        <v>22975</v>
      </c>
    </row>
    <row r="6" spans="1:29" x14ac:dyDescent="0.25">
      <c r="A6" s="12" t="s">
        <v>11</v>
      </c>
      <c r="B6" s="13">
        <v>494</v>
      </c>
      <c r="C6" s="13">
        <v>801</v>
      </c>
      <c r="D6" s="13">
        <v>806</v>
      </c>
      <c r="E6" s="13">
        <f t="shared" ref="E6:E7" si="7">Q6-SUM(B6:D6)</f>
        <v>688</v>
      </c>
      <c r="F6" s="13">
        <v>616</v>
      </c>
      <c r="G6" s="13">
        <v>866</v>
      </c>
      <c r="H6" s="13">
        <v>1117</v>
      </c>
      <c r="I6" s="13">
        <f t="shared" ref="I6:I7" si="8">R6-SUM(F6:H6)</f>
        <v>1310</v>
      </c>
      <c r="J6" s="13">
        <v>1529</v>
      </c>
      <c r="K6" s="13">
        <v>1509</v>
      </c>
      <c r="L6" s="13">
        <v>1559</v>
      </c>
      <c r="M6" s="13">
        <f t="shared" ref="M6:M7" si="9">S6-SUM(J6:L6)</f>
        <v>1438</v>
      </c>
      <c r="N6" s="13">
        <v>1635</v>
      </c>
      <c r="O6" s="13">
        <v>3014</v>
      </c>
      <c r="P6" s="13"/>
      <c r="Q6" s="13">
        <v>2789</v>
      </c>
      <c r="R6" s="13">
        <v>3909</v>
      </c>
      <c r="S6" s="13">
        <v>6035</v>
      </c>
      <c r="T6" s="13">
        <f>S6*1.4</f>
        <v>8449</v>
      </c>
      <c r="U6" s="13">
        <f>T6*1.4</f>
        <v>11828.599999999999</v>
      </c>
      <c r="V6" s="13">
        <f t="shared" ref="V6:Z6" si="10">U6*1.35</f>
        <v>15968.609999999999</v>
      </c>
      <c r="W6" s="13">
        <f t="shared" si="10"/>
        <v>21557.623500000002</v>
      </c>
      <c r="X6" s="13">
        <f t="shared" si="10"/>
        <v>29102.791725000003</v>
      </c>
      <c r="Y6" s="13">
        <f t="shared" si="10"/>
        <v>39288.768828750006</v>
      </c>
      <c r="Z6" s="13">
        <f t="shared" si="10"/>
        <v>53039.837918812511</v>
      </c>
      <c r="AB6" s="12" t="s">
        <v>6</v>
      </c>
      <c r="AC6" s="15">
        <f>AC4+AC5</f>
        <v>624808.77254916169</v>
      </c>
    </row>
    <row r="7" spans="1:29" x14ac:dyDescent="0.25">
      <c r="A7" s="12" t="s">
        <v>12</v>
      </c>
      <c r="B7" s="13">
        <v>893</v>
      </c>
      <c r="C7" s="13">
        <v>951</v>
      </c>
      <c r="D7" s="13">
        <v>894</v>
      </c>
      <c r="E7" s="13">
        <f t="shared" si="7"/>
        <v>1064</v>
      </c>
      <c r="F7" s="13">
        <v>1279</v>
      </c>
      <c r="G7" s="13">
        <v>1466</v>
      </c>
      <c r="H7" s="13">
        <v>1645</v>
      </c>
      <c r="I7" s="13">
        <f t="shared" si="8"/>
        <v>1701</v>
      </c>
      <c r="J7" s="13">
        <v>1837</v>
      </c>
      <c r="K7" s="13">
        <v>2150</v>
      </c>
      <c r="L7" s="13">
        <v>2166</v>
      </c>
      <c r="M7" s="13">
        <f t="shared" si="9"/>
        <v>2166</v>
      </c>
      <c r="N7" s="13">
        <v>2288</v>
      </c>
      <c r="O7" s="13">
        <v>2608</v>
      </c>
      <c r="P7" s="13"/>
      <c r="Q7" s="13">
        <v>3802</v>
      </c>
      <c r="R7" s="13">
        <v>6091</v>
      </c>
      <c r="S7" s="13">
        <v>8319</v>
      </c>
      <c r="T7" s="13">
        <f>S7*1.2</f>
        <v>9982.7999999999993</v>
      </c>
      <c r="U7" s="13">
        <f t="shared" ref="U7:Z7" si="11">T7*1.2</f>
        <v>11979.359999999999</v>
      </c>
      <c r="V7" s="13">
        <f t="shared" si="11"/>
        <v>14375.231999999998</v>
      </c>
      <c r="W7" s="13">
        <f t="shared" si="11"/>
        <v>17250.278399999996</v>
      </c>
      <c r="X7" s="13">
        <f t="shared" si="11"/>
        <v>20700.334079999993</v>
      </c>
      <c r="Y7" s="13">
        <f t="shared" si="11"/>
        <v>24840.400895999992</v>
      </c>
      <c r="Z7" s="13">
        <f t="shared" si="11"/>
        <v>29808.48107519999</v>
      </c>
      <c r="AB7" s="12" t="s">
        <v>1</v>
      </c>
      <c r="AC7" s="15">
        <f>AC6/S26</f>
        <v>179.2851571159718</v>
      </c>
    </row>
    <row r="8" spans="1:29" x14ac:dyDescent="0.25">
      <c r="A8" s="11" t="s">
        <v>13</v>
      </c>
      <c r="B8" s="16">
        <f>SUM(B5:B7)</f>
        <v>10389</v>
      </c>
      <c r="C8" s="16">
        <f t="shared" ref="C8:O8" si="12">SUM(C5:C7)</f>
        <v>11958</v>
      </c>
      <c r="D8" s="16">
        <f t="shared" si="12"/>
        <v>13757</v>
      </c>
      <c r="E8" s="16">
        <f t="shared" si="12"/>
        <v>17719</v>
      </c>
      <c r="F8" s="16">
        <f t="shared" si="12"/>
        <v>18756</v>
      </c>
      <c r="G8" s="16">
        <f t="shared" si="12"/>
        <v>16934</v>
      </c>
      <c r="H8" s="16">
        <f t="shared" si="12"/>
        <v>21454</v>
      </c>
      <c r="I8" s="16">
        <f t="shared" si="12"/>
        <v>24318</v>
      </c>
      <c r="J8" s="16">
        <f t="shared" si="12"/>
        <v>23329</v>
      </c>
      <c r="K8" s="16">
        <f t="shared" si="12"/>
        <v>24927</v>
      </c>
      <c r="L8" s="16">
        <f t="shared" si="12"/>
        <v>23350</v>
      </c>
      <c r="M8" s="16">
        <f t="shared" si="12"/>
        <v>25167</v>
      </c>
      <c r="N8" s="16">
        <f t="shared" si="12"/>
        <v>21301</v>
      </c>
      <c r="O8" s="16">
        <f t="shared" si="12"/>
        <v>25500</v>
      </c>
      <c r="P8" s="13"/>
      <c r="Q8" s="16">
        <f t="shared" ref="Q8:T8" si="13">SUM(Q5:Q7)</f>
        <v>53823</v>
      </c>
      <c r="R8" s="16">
        <f t="shared" si="13"/>
        <v>81462</v>
      </c>
      <c r="S8" s="16">
        <f t="shared" si="13"/>
        <v>96773</v>
      </c>
      <c r="T8" s="16">
        <f t="shared" si="13"/>
        <v>131108.182</v>
      </c>
      <c r="U8" s="16">
        <f t="shared" ref="U8" si="14">SUM(U5:U7)</f>
        <v>163197.76737499997</v>
      </c>
      <c r="V8" s="16">
        <f t="shared" ref="V8" si="15">SUM(V5:V7)</f>
        <v>198503.10032312875</v>
      </c>
      <c r="W8" s="16">
        <f t="shared" ref="W8" si="16">SUM(W5:W7)</f>
        <v>236563.18968799949</v>
      </c>
      <c r="X8" s="16">
        <f t="shared" ref="X8" si="17">SUM(X5:X7)</f>
        <v>278352.40796096745</v>
      </c>
      <c r="Y8" s="16">
        <f t="shared" ref="Y8" si="18">SUM(Y5:Y7)</f>
        <v>328270.49413362623</v>
      </c>
      <c r="Z8" s="16">
        <f t="shared" ref="Z8" si="19">SUM(Z5:Z7)</f>
        <v>382777.13794974005</v>
      </c>
      <c r="AC8" s="15">
        <f>AC7*0.8</f>
        <v>143.42812569277746</v>
      </c>
    </row>
    <row r="9" spans="1:29" x14ac:dyDescent="0.25">
      <c r="A9" s="12" t="s">
        <v>24</v>
      </c>
      <c r="B9" s="13">
        <v>6457</v>
      </c>
      <c r="C9" s="13">
        <v>7119</v>
      </c>
      <c r="D9" s="13">
        <v>8150</v>
      </c>
      <c r="E9" s="13">
        <f t="shared" ref="E9:E10" si="20">Q9-SUM(B9:D9)</f>
        <v>10689</v>
      </c>
      <c r="F9" s="13">
        <v>10914</v>
      </c>
      <c r="G9" s="13">
        <v>10153</v>
      </c>
      <c r="H9" s="13">
        <v>13099</v>
      </c>
      <c r="I9" s="13">
        <f t="shared" ref="I9:I10" si="21">R9-SUM(F9:H9)</f>
        <v>15433</v>
      </c>
      <c r="J9" s="13">
        <v>15422</v>
      </c>
      <c r="K9" s="13">
        <v>16841</v>
      </c>
      <c r="L9" s="13">
        <v>15656</v>
      </c>
      <c r="M9" s="13">
        <f t="shared" ref="M9:M10" si="22">S9-SUM(J9:L9)</f>
        <v>17202</v>
      </c>
      <c r="N9" s="13">
        <v>13897</v>
      </c>
      <c r="O9" s="17">
        <v>15962</v>
      </c>
      <c r="P9" s="17"/>
      <c r="Q9" s="13">
        <v>32415</v>
      </c>
      <c r="R9" s="13">
        <v>49599</v>
      </c>
      <c r="S9" s="13">
        <v>65121</v>
      </c>
      <c r="T9" s="13">
        <f>T5*0.785</f>
        <v>88450.959870000006</v>
      </c>
      <c r="U9" s="13">
        <f>U5*0.765</f>
        <v>106633.20264187499</v>
      </c>
      <c r="V9" s="13">
        <f t="shared" ref="V9" si="23">V5*0.75</f>
        <v>126119.44374234657</v>
      </c>
      <c r="W9" s="13">
        <f>W5*0.75</f>
        <v>148316.46584099959</v>
      </c>
      <c r="X9" s="13">
        <f t="shared" ref="X9:Y9" si="24">X5*0.73</f>
        <v>166840.97597385626</v>
      </c>
      <c r="Y9" s="13">
        <f t="shared" si="24"/>
        <v>192823.16681847966</v>
      </c>
      <c r="Z9" s="13">
        <f>Z5*0.73</f>
        <v>218948.03783768113</v>
      </c>
    </row>
    <row r="10" spans="1:29" x14ac:dyDescent="0.25">
      <c r="A10" s="12" t="s">
        <v>25</v>
      </c>
      <c r="B10" s="13">
        <v>160</v>
      </c>
      <c r="C10" s="13">
        <v>188</v>
      </c>
      <c r="D10" s="13">
        <v>234</v>
      </c>
      <c r="E10" s="13">
        <f t="shared" si="20"/>
        <v>396</v>
      </c>
      <c r="F10" s="13">
        <v>408</v>
      </c>
      <c r="G10" s="13">
        <v>368</v>
      </c>
      <c r="H10" s="13">
        <v>381</v>
      </c>
      <c r="I10" s="13">
        <f t="shared" si="21"/>
        <v>352</v>
      </c>
      <c r="J10" s="13">
        <v>333</v>
      </c>
      <c r="K10" s="13">
        <v>338</v>
      </c>
      <c r="L10" s="13">
        <v>301</v>
      </c>
      <c r="M10" s="13">
        <f t="shared" si="22"/>
        <v>296</v>
      </c>
      <c r="N10" s="13">
        <v>269</v>
      </c>
      <c r="O10" s="13">
        <v>245</v>
      </c>
      <c r="P10" s="13"/>
      <c r="Q10" s="13">
        <v>978</v>
      </c>
      <c r="R10" s="13">
        <v>1509</v>
      </c>
      <c r="S10" s="13">
        <v>1268</v>
      </c>
      <c r="T10" s="13">
        <f>T8*0.012</f>
        <v>1573.298184</v>
      </c>
      <c r="U10" s="13">
        <f>U8*0.011</f>
        <v>1795.1754411249995</v>
      </c>
      <c r="V10" s="13">
        <f>V8*0.011</f>
        <v>2183.5341035544161</v>
      </c>
      <c r="W10" s="13">
        <f>W8*0.0105</f>
        <v>2483.9134917239949</v>
      </c>
      <c r="X10" s="13">
        <f t="shared" ref="X10" si="25">X8*0.0105</f>
        <v>2922.7002835901585</v>
      </c>
      <c r="Y10" s="13">
        <f>Y8*0.01</f>
        <v>3282.7049413362624</v>
      </c>
      <c r="Z10" s="13">
        <f t="shared" ref="Z10" si="26">Z8*0.01</f>
        <v>3827.7713794974006</v>
      </c>
      <c r="AB10" s="15"/>
    </row>
    <row r="11" spans="1:29" x14ac:dyDescent="0.25">
      <c r="A11" s="12" t="s">
        <v>26</v>
      </c>
      <c r="B11" s="13">
        <f>B9+B10</f>
        <v>6617</v>
      </c>
      <c r="C11" s="13">
        <f t="shared" ref="C11:O11" si="27">C9+C10</f>
        <v>7307</v>
      </c>
      <c r="D11" s="13">
        <f t="shared" si="27"/>
        <v>8384</v>
      </c>
      <c r="E11" s="13">
        <f t="shared" si="27"/>
        <v>11085</v>
      </c>
      <c r="F11" s="13">
        <f t="shared" si="27"/>
        <v>11322</v>
      </c>
      <c r="G11" s="13">
        <f t="shared" si="27"/>
        <v>10521</v>
      </c>
      <c r="H11" s="13">
        <f t="shared" si="27"/>
        <v>13480</v>
      </c>
      <c r="I11" s="13">
        <f t="shared" si="27"/>
        <v>15785</v>
      </c>
      <c r="J11" s="13">
        <f t="shared" si="27"/>
        <v>15755</v>
      </c>
      <c r="K11" s="13">
        <f t="shared" si="27"/>
        <v>17179</v>
      </c>
      <c r="L11" s="13">
        <f t="shared" si="27"/>
        <v>15957</v>
      </c>
      <c r="M11" s="13">
        <f t="shared" si="27"/>
        <v>17498</v>
      </c>
      <c r="N11" s="13">
        <f t="shared" si="27"/>
        <v>14166</v>
      </c>
      <c r="O11" s="13">
        <f t="shared" si="27"/>
        <v>16207</v>
      </c>
      <c r="P11" s="13"/>
      <c r="Q11" s="13">
        <f>Q9+Q10</f>
        <v>33393</v>
      </c>
      <c r="R11" s="13">
        <f t="shared" ref="R11:Z11" si="28">R9+R10</f>
        <v>51108</v>
      </c>
      <c r="S11" s="13">
        <f t="shared" si="28"/>
        <v>66389</v>
      </c>
      <c r="T11" s="13">
        <f t="shared" si="28"/>
        <v>90024.258054000005</v>
      </c>
      <c r="U11" s="13">
        <f t="shared" si="28"/>
        <v>108428.37808299999</v>
      </c>
      <c r="V11" s="13">
        <f t="shared" si="28"/>
        <v>128302.97784590098</v>
      </c>
      <c r="W11" s="13">
        <f t="shared" si="28"/>
        <v>150800.37933272359</v>
      </c>
      <c r="X11" s="13">
        <f t="shared" si="28"/>
        <v>169763.67625744641</v>
      </c>
      <c r="Y11" s="13">
        <f t="shared" si="28"/>
        <v>196105.87175981593</v>
      </c>
      <c r="Z11" s="13">
        <f t="shared" si="28"/>
        <v>222775.80921717852</v>
      </c>
    </row>
    <row r="12" spans="1:29" x14ac:dyDescent="0.25">
      <c r="A12" s="12" t="s">
        <v>27</v>
      </c>
      <c r="B12" s="13">
        <v>595</v>
      </c>
      <c r="C12" s="13">
        <v>781</v>
      </c>
      <c r="D12" s="13">
        <v>803</v>
      </c>
      <c r="E12" s="13">
        <f t="shared" ref="E12:E13" si="29">Q12-SUM(B12:D12)</f>
        <v>739</v>
      </c>
      <c r="F12" s="13">
        <v>688</v>
      </c>
      <c r="G12" s="13">
        <v>769</v>
      </c>
      <c r="H12" s="13">
        <v>1013</v>
      </c>
      <c r="I12" s="13">
        <f t="shared" ref="I12:I13" si="30">R12-SUM(F12:H12)</f>
        <v>1151</v>
      </c>
      <c r="J12" s="13">
        <v>1361</v>
      </c>
      <c r="K12" s="13">
        <v>1231</v>
      </c>
      <c r="L12" s="13">
        <v>1178</v>
      </c>
      <c r="M12" s="13">
        <f t="shared" ref="M12:M13" si="31">S12-SUM(J12:L12)</f>
        <v>1124</v>
      </c>
      <c r="N12" s="13">
        <v>1232</v>
      </c>
      <c r="O12" s="17">
        <v>2274</v>
      </c>
      <c r="P12" s="17"/>
      <c r="Q12" s="13">
        <v>2918</v>
      </c>
      <c r="R12" s="13">
        <v>3621</v>
      </c>
      <c r="S12" s="13">
        <v>4894</v>
      </c>
      <c r="T12" s="13">
        <f>T6*0.8</f>
        <v>6759.2000000000007</v>
      </c>
      <c r="U12" s="13">
        <f>U6*0.77</f>
        <v>9108.021999999999</v>
      </c>
      <c r="V12" s="13">
        <f>V6*0.76</f>
        <v>12136.143599999999</v>
      </c>
      <c r="W12" s="13">
        <f>W6*0.75</f>
        <v>16168.217625000001</v>
      </c>
      <c r="X12" s="13">
        <f t="shared" ref="X12:Z12" si="32">X6*0.75</f>
        <v>21827.093793750002</v>
      </c>
      <c r="Y12" s="13">
        <f t="shared" si="32"/>
        <v>29466.576621562504</v>
      </c>
      <c r="Z12" s="13">
        <f t="shared" si="32"/>
        <v>39779.87843910938</v>
      </c>
    </row>
    <row r="13" spans="1:29" x14ac:dyDescent="0.25">
      <c r="A13" s="12" t="s">
        <v>28</v>
      </c>
      <c r="B13" s="13">
        <v>962</v>
      </c>
      <c r="C13" s="13">
        <v>986</v>
      </c>
      <c r="D13" s="13">
        <v>910</v>
      </c>
      <c r="E13" s="13">
        <f t="shared" si="29"/>
        <v>1048</v>
      </c>
      <c r="F13" s="13">
        <v>1286</v>
      </c>
      <c r="G13" s="13">
        <v>1410</v>
      </c>
      <c r="H13" s="13">
        <v>1579</v>
      </c>
      <c r="I13" s="13">
        <f t="shared" si="30"/>
        <v>1605</v>
      </c>
      <c r="J13" s="13">
        <v>1702</v>
      </c>
      <c r="K13" s="13">
        <v>1984</v>
      </c>
      <c r="L13" s="13">
        <v>2037</v>
      </c>
      <c r="M13" s="13">
        <f t="shared" si="31"/>
        <v>2107</v>
      </c>
      <c r="N13" s="13">
        <v>2207</v>
      </c>
      <c r="O13" s="13">
        <v>2441</v>
      </c>
      <c r="P13" s="13"/>
      <c r="Q13" s="13">
        <v>3906</v>
      </c>
      <c r="R13" s="13">
        <v>5880</v>
      </c>
      <c r="S13" s="13">
        <v>7830</v>
      </c>
      <c r="T13" s="13">
        <f>T7*0.9</f>
        <v>8984.52</v>
      </c>
      <c r="U13" s="13">
        <f t="shared" ref="U13" si="33">U7*0.9</f>
        <v>10781.423999999999</v>
      </c>
      <c r="V13" s="13">
        <f>V7*0.88</f>
        <v>12650.204159999999</v>
      </c>
      <c r="W13" s="13">
        <f t="shared" ref="W13:Z13" si="34">W7*0.88</f>
        <v>15180.244991999996</v>
      </c>
      <c r="X13" s="13">
        <f t="shared" si="34"/>
        <v>18216.293990399994</v>
      </c>
      <c r="Y13" s="13">
        <f t="shared" si="34"/>
        <v>21859.552788479992</v>
      </c>
      <c r="Z13" s="13">
        <f t="shared" si="34"/>
        <v>26231.463346175991</v>
      </c>
    </row>
    <row r="14" spans="1:29" x14ac:dyDescent="0.25">
      <c r="A14" s="12" t="s">
        <v>29</v>
      </c>
      <c r="B14" s="13">
        <f>B11+B12+B13</f>
        <v>8174</v>
      </c>
      <c r="C14" s="13">
        <f t="shared" ref="C14:O14" si="35">C11+C12+C13</f>
        <v>9074</v>
      </c>
      <c r="D14" s="13">
        <f t="shared" si="35"/>
        <v>10097</v>
      </c>
      <c r="E14" s="13">
        <f t="shared" si="35"/>
        <v>12872</v>
      </c>
      <c r="F14" s="13">
        <f t="shared" si="35"/>
        <v>13296</v>
      </c>
      <c r="G14" s="13">
        <f t="shared" si="35"/>
        <v>12700</v>
      </c>
      <c r="H14" s="13">
        <f t="shared" si="35"/>
        <v>16072</v>
      </c>
      <c r="I14" s="13">
        <f t="shared" si="35"/>
        <v>18541</v>
      </c>
      <c r="J14" s="13">
        <f t="shared" si="35"/>
        <v>18818</v>
      </c>
      <c r="K14" s="13">
        <f t="shared" si="35"/>
        <v>20394</v>
      </c>
      <c r="L14" s="13">
        <f t="shared" si="35"/>
        <v>19172</v>
      </c>
      <c r="M14" s="13">
        <f t="shared" si="35"/>
        <v>20729</v>
      </c>
      <c r="N14" s="13">
        <f t="shared" si="35"/>
        <v>17605</v>
      </c>
      <c r="O14" s="13">
        <f t="shared" si="35"/>
        <v>20922</v>
      </c>
      <c r="P14" s="13"/>
      <c r="Q14" s="13">
        <f>Q11+Q12+Q13</f>
        <v>40217</v>
      </c>
      <c r="R14" s="13">
        <f t="shared" ref="R14:Z14" si="36">R11+R12+R13</f>
        <v>60609</v>
      </c>
      <c r="S14" s="13">
        <f t="shared" si="36"/>
        <v>79113</v>
      </c>
      <c r="T14" s="13">
        <f t="shared" si="36"/>
        <v>105767.97805400001</v>
      </c>
      <c r="U14" s="13">
        <f t="shared" si="36"/>
        <v>128317.82408299998</v>
      </c>
      <c r="V14" s="13">
        <f t="shared" si="36"/>
        <v>153089.32560590099</v>
      </c>
      <c r="W14" s="13">
        <f t="shared" si="36"/>
        <v>182148.84194972357</v>
      </c>
      <c r="X14" s="13">
        <f t="shared" si="36"/>
        <v>209807.06404159643</v>
      </c>
      <c r="Y14" s="13">
        <f t="shared" si="36"/>
        <v>247432.00116985841</v>
      </c>
      <c r="Z14" s="13">
        <f t="shared" si="36"/>
        <v>288787.15100246388</v>
      </c>
    </row>
    <row r="15" spans="1:29" x14ac:dyDescent="0.25">
      <c r="A15" s="11" t="s">
        <v>30</v>
      </c>
      <c r="B15" s="16">
        <f t="shared" ref="B15:O15" si="37">B8-B14</f>
        <v>2215</v>
      </c>
      <c r="C15" s="16">
        <f t="shared" si="37"/>
        <v>2884</v>
      </c>
      <c r="D15" s="16">
        <f t="shared" si="37"/>
        <v>3660</v>
      </c>
      <c r="E15" s="16">
        <f t="shared" si="37"/>
        <v>4847</v>
      </c>
      <c r="F15" s="16">
        <f t="shared" si="37"/>
        <v>5460</v>
      </c>
      <c r="G15" s="16">
        <f t="shared" si="37"/>
        <v>4234</v>
      </c>
      <c r="H15" s="16">
        <f t="shared" si="37"/>
        <v>5382</v>
      </c>
      <c r="I15" s="16">
        <f t="shared" si="37"/>
        <v>5777</v>
      </c>
      <c r="J15" s="16">
        <f t="shared" si="37"/>
        <v>4511</v>
      </c>
      <c r="K15" s="16">
        <f t="shared" si="37"/>
        <v>4533</v>
      </c>
      <c r="L15" s="16">
        <f t="shared" si="37"/>
        <v>4178</v>
      </c>
      <c r="M15" s="16">
        <f t="shared" si="37"/>
        <v>4438</v>
      </c>
      <c r="N15" s="16">
        <f t="shared" si="37"/>
        <v>3696</v>
      </c>
      <c r="O15" s="16">
        <f t="shared" si="37"/>
        <v>4578</v>
      </c>
      <c r="P15" s="16"/>
      <c r="Q15" s="16">
        <f>Q8-Q14</f>
        <v>13606</v>
      </c>
      <c r="R15" s="16">
        <f t="shared" ref="R15:Z15" si="38">R8-R14</f>
        <v>20853</v>
      </c>
      <c r="S15" s="16">
        <f t="shared" si="38"/>
        <v>17660</v>
      </c>
      <c r="T15" s="16">
        <f t="shared" si="38"/>
        <v>25340.203945999994</v>
      </c>
      <c r="U15" s="16">
        <f t="shared" si="38"/>
        <v>34879.943291999982</v>
      </c>
      <c r="V15" s="16">
        <f t="shared" si="38"/>
        <v>45413.77471722776</v>
      </c>
      <c r="W15" s="16">
        <f t="shared" si="38"/>
        <v>54414.347738275916</v>
      </c>
      <c r="X15" s="16">
        <f t="shared" si="38"/>
        <v>68545.343919371022</v>
      </c>
      <c r="Y15" s="16">
        <f t="shared" si="38"/>
        <v>80838.492963767814</v>
      </c>
      <c r="Z15" s="16">
        <f t="shared" si="38"/>
        <v>93989.986947276164</v>
      </c>
    </row>
    <row r="16" spans="1:29" x14ac:dyDescent="0.25">
      <c r="A16" s="12" t="s">
        <v>31</v>
      </c>
      <c r="B16" s="13">
        <v>666</v>
      </c>
      <c r="C16" s="13">
        <v>576</v>
      </c>
      <c r="D16" s="13">
        <v>611</v>
      </c>
      <c r="E16" s="13">
        <f t="shared" ref="E16:E18" si="39">Q16-SUM(B16:D16)</f>
        <v>740</v>
      </c>
      <c r="F16" s="13">
        <v>865</v>
      </c>
      <c r="G16" s="13">
        <v>667</v>
      </c>
      <c r="H16" s="13">
        <v>733</v>
      </c>
      <c r="I16" s="13">
        <f t="shared" ref="I16:I18" si="40">R16-SUM(F16:H16)</f>
        <v>810</v>
      </c>
      <c r="J16" s="13">
        <v>771</v>
      </c>
      <c r="K16" s="13">
        <v>943</v>
      </c>
      <c r="L16" s="13">
        <v>1161</v>
      </c>
      <c r="M16" s="13">
        <f t="shared" ref="M16:M18" si="41">S16-SUM(J16:L16)</f>
        <v>1094</v>
      </c>
      <c r="N16" s="13">
        <v>1151</v>
      </c>
      <c r="O16" s="13">
        <v>1074</v>
      </c>
      <c r="P16" s="13"/>
      <c r="Q16" s="13">
        <v>2593</v>
      </c>
      <c r="R16" s="13">
        <v>3075</v>
      </c>
      <c r="S16" s="13">
        <v>3969</v>
      </c>
      <c r="T16" s="13">
        <f>T8*0.038</f>
        <v>4982.1109159999996</v>
      </c>
      <c r="U16" s="13">
        <f t="shared" ref="U16" si="42">U8*0.038</f>
        <v>6201.5151602499982</v>
      </c>
      <c r="V16" s="13">
        <f>V8*0.035</f>
        <v>6947.6085113095069</v>
      </c>
      <c r="W16" s="13">
        <f t="shared" ref="W16:Z16" si="43">W8*0.035</f>
        <v>8279.7116390799838</v>
      </c>
      <c r="X16" s="13">
        <f t="shared" si="43"/>
        <v>9742.3342786338617</v>
      </c>
      <c r="Y16" s="13">
        <f t="shared" si="43"/>
        <v>11489.467294676919</v>
      </c>
      <c r="Z16" s="13">
        <f t="shared" si="43"/>
        <v>13397.199828240902</v>
      </c>
    </row>
    <row r="17" spans="1:80" x14ac:dyDescent="0.25">
      <c r="A17" s="12" t="s">
        <v>32</v>
      </c>
      <c r="B17" s="13">
        <v>1056</v>
      </c>
      <c r="C17" s="13">
        <v>973</v>
      </c>
      <c r="D17" s="13">
        <v>994</v>
      </c>
      <c r="E17" s="13">
        <f t="shared" si="39"/>
        <v>1494</v>
      </c>
      <c r="F17" s="13">
        <v>992</v>
      </c>
      <c r="G17" s="13">
        <v>961</v>
      </c>
      <c r="H17" s="13">
        <v>961</v>
      </c>
      <c r="I17" s="13">
        <f t="shared" si="40"/>
        <v>1032</v>
      </c>
      <c r="J17" s="13">
        <v>1076</v>
      </c>
      <c r="K17" s="13">
        <v>1191</v>
      </c>
      <c r="L17" s="13">
        <v>1253</v>
      </c>
      <c r="M17" s="13">
        <f t="shared" si="41"/>
        <v>1280</v>
      </c>
      <c r="N17" s="13">
        <v>1374</v>
      </c>
      <c r="O17" s="13">
        <v>1277</v>
      </c>
      <c r="P17" s="13"/>
      <c r="Q17" s="13">
        <v>4517</v>
      </c>
      <c r="R17" s="13">
        <v>3946</v>
      </c>
      <c r="S17" s="13">
        <v>4800</v>
      </c>
      <c r="T17" s="13">
        <f>T8*0.05</f>
        <v>6555.4091000000008</v>
      </c>
      <c r="U17" s="13">
        <f t="shared" ref="U17:Z17" si="44">U8*0.05</f>
        <v>8159.8883687499983</v>
      </c>
      <c r="V17" s="13">
        <f t="shared" si="44"/>
        <v>9925.1550161564373</v>
      </c>
      <c r="W17" s="13">
        <f>W8*0.05</f>
        <v>11828.159484399976</v>
      </c>
      <c r="X17" s="13">
        <f t="shared" si="44"/>
        <v>13917.620398048373</v>
      </c>
      <c r="Y17" s="13">
        <f t="shared" si="44"/>
        <v>16413.524706681314</v>
      </c>
      <c r="Z17" s="13">
        <f t="shared" si="44"/>
        <v>19138.856897487003</v>
      </c>
    </row>
    <row r="18" spans="1:80" x14ac:dyDescent="0.25">
      <c r="A18" s="12" t="s">
        <v>33</v>
      </c>
      <c r="B18" s="13">
        <v>-101</v>
      </c>
      <c r="C18" s="13">
        <v>23</v>
      </c>
      <c r="D18" s="13">
        <v>51</v>
      </c>
      <c r="E18" s="13">
        <f t="shared" si="39"/>
        <v>0</v>
      </c>
      <c r="F18" s="13">
        <v>0</v>
      </c>
      <c r="G18" s="13">
        <v>142</v>
      </c>
      <c r="H18" s="13">
        <v>0</v>
      </c>
      <c r="I18" s="13">
        <f t="shared" si="40"/>
        <v>34</v>
      </c>
      <c r="J18" s="13">
        <v>0</v>
      </c>
      <c r="K18" s="13">
        <v>0</v>
      </c>
      <c r="L18" s="13">
        <v>0</v>
      </c>
      <c r="M18" s="13">
        <f t="shared" si="41"/>
        <v>0</v>
      </c>
      <c r="N18" s="13">
        <v>0</v>
      </c>
      <c r="O18" s="13">
        <v>622</v>
      </c>
      <c r="P18" s="13"/>
      <c r="Q18" s="13">
        <v>-27</v>
      </c>
      <c r="R18" s="13">
        <v>176</v>
      </c>
      <c r="S18" s="13">
        <v>0</v>
      </c>
      <c r="T18" s="13">
        <v>0</v>
      </c>
      <c r="U18" s="13">
        <v>0</v>
      </c>
      <c r="V18" s="13">
        <v>0</v>
      </c>
      <c r="W18" s="13">
        <v>0</v>
      </c>
      <c r="X18" s="13">
        <v>0</v>
      </c>
      <c r="Y18" s="13">
        <v>0</v>
      </c>
      <c r="Z18" s="13">
        <v>0</v>
      </c>
    </row>
    <row r="19" spans="1:80" x14ac:dyDescent="0.25">
      <c r="A19" s="12" t="s">
        <v>34</v>
      </c>
      <c r="B19" s="13">
        <f t="shared" ref="B19:M19" si="45">B16+B17+B18</f>
        <v>1621</v>
      </c>
      <c r="C19" s="13">
        <f t="shared" si="45"/>
        <v>1572</v>
      </c>
      <c r="D19" s="13">
        <f t="shared" si="45"/>
        <v>1656</v>
      </c>
      <c r="E19" s="13">
        <f t="shared" si="45"/>
        <v>2234</v>
      </c>
      <c r="F19" s="13">
        <f t="shared" si="45"/>
        <v>1857</v>
      </c>
      <c r="G19" s="13">
        <f t="shared" si="45"/>
        <v>1770</v>
      </c>
      <c r="H19" s="13">
        <f t="shared" si="45"/>
        <v>1694</v>
      </c>
      <c r="I19" s="13">
        <f t="shared" si="45"/>
        <v>1876</v>
      </c>
      <c r="J19" s="13">
        <f t="shared" si="45"/>
        <v>1847</v>
      </c>
      <c r="K19" s="13">
        <f t="shared" si="45"/>
        <v>2134</v>
      </c>
      <c r="L19" s="13">
        <f t="shared" si="45"/>
        <v>2414</v>
      </c>
      <c r="M19" s="13">
        <f t="shared" si="45"/>
        <v>2374</v>
      </c>
      <c r="N19" s="13">
        <f t="shared" ref="N19:O19" si="46">N16+N17+N18</f>
        <v>2525</v>
      </c>
      <c r="O19" s="13">
        <f t="shared" si="46"/>
        <v>2973</v>
      </c>
      <c r="P19" s="13"/>
      <c r="Q19" s="13">
        <f>Q16+Q17+Q18</f>
        <v>7083</v>
      </c>
      <c r="R19" s="13">
        <f t="shared" ref="R19:Z19" si="47">R16+R17+R18</f>
        <v>7197</v>
      </c>
      <c r="S19" s="13">
        <f t="shared" si="47"/>
        <v>8769</v>
      </c>
      <c r="T19" s="13">
        <f t="shared" si="47"/>
        <v>11537.520016</v>
      </c>
      <c r="U19" s="13">
        <f t="shared" si="47"/>
        <v>14361.403528999996</v>
      </c>
      <c r="V19" s="13">
        <f t="shared" si="47"/>
        <v>16872.763527465944</v>
      </c>
      <c r="W19" s="13">
        <f t="shared" si="47"/>
        <v>20107.871123479959</v>
      </c>
      <c r="X19" s="13">
        <f t="shared" si="47"/>
        <v>23659.954676682235</v>
      </c>
      <c r="Y19" s="13">
        <f t="shared" si="47"/>
        <v>27902.99200135823</v>
      </c>
      <c r="Z19" s="13">
        <f t="shared" si="47"/>
        <v>32536.056725727904</v>
      </c>
    </row>
    <row r="20" spans="1:80" x14ac:dyDescent="0.25">
      <c r="A20" s="11" t="s">
        <v>35</v>
      </c>
      <c r="B20" s="16">
        <f t="shared" ref="B20:M20" si="48">B15-B19</f>
        <v>594</v>
      </c>
      <c r="C20" s="16">
        <f t="shared" si="48"/>
        <v>1312</v>
      </c>
      <c r="D20" s="16">
        <f t="shared" si="48"/>
        <v>2004</v>
      </c>
      <c r="E20" s="16">
        <f t="shared" si="48"/>
        <v>2613</v>
      </c>
      <c r="F20" s="16">
        <f t="shared" si="48"/>
        <v>3603</v>
      </c>
      <c r="G20" s="16">
        <f t="shared" si="48"/>
        <v>2464</v>
      </c>
      <c r="H20" s="16">
        <f t="shared" si="48"/>
        <v>3688</v>
      </c>
      <c r="I20" s="16">
        <f t="shared" si="48"/>
        <v>3901</v>
      </c>
      <c r="J20" s="16">
        <f t="shared" si="48"/>
        <v>2664</v>
      </c>
      <c r="K20" s="16">
        <f t="shared" si="48"/>
        <v>2399</v>
      </c>
      <c r="L20" s="16">
        <f t="shared" si="48"/>
        <v>1764</v>
      </c>
      <c r="M20" s="16">
        <f t="shared" si="48"/>
        <v>2064</v>
      </c>
      <c r="N20" s="16">
        <f t="shared" ref="N20:O20" si="49">N15-N19</f>
        <v>1171</v>
      </c>
      <c r="O20" s="16">
        <f t="shared" si="49"/>
        <v>1605</v>
      </c>
      <c r="P20" s="16"/>
      <c r="Q20" s="16">
        <f>Q15-Q19</f>
        <v>6523</v>
      </c>
      <c r="R20" s="16">
        <f t="shared" ref="R20:Z20" si="50">R15-R19</f>
        <v>13656</v>
      </c>
      <c r="S20" s="16">
        <f t="shared" si="50"/>
        <v>8891</v>
      </c>
      <c r="T20" s="16">
        <f t="shared" si="50"/>
        <v>13802.683929999994</v>
      </c>
      <c r="U20" s="16">
        <f t="shared" si="50"/>
        <v>20518.539762999986</v>
      </c>
      <c r="V20" s="16">
        <f t="shared" si="50"/>
        <v>28541.011189761815</v>
      </c>
      <c r="W20" s="16">
        <f t="shared" si="50"/>
        <v>34306.47661479596</v>
      </c>
      <c r="X20" s="16">
        <f t="shared" si="50"/>
        <v>44885.389242688791</v>
      </c>
      <c r="Y20" s="16">
        <f t="shared" si="50"/>
        <v>52935.500962409584</v>
      </c>
      <c r="Z20" s="16">
        <f t="shared" si="50"/>
        <v>61453.93022154826</v>
      </c>
    </row>
    <row r="21" spans="1:80" x14ac:dyDescent="0.25">
      <c r="A21" s="12" t="s">
        <v>36</v>
      </c>
      <c r="B21" s="13">
        <f>10-99</f>
        <v>-89</v>
      </c>
      <c r="C21" s="13">
        <f>11-75</f>
        <v>-64</v>
      </c>
      <c r="D21" s="13">
        <f>10-126</f>
        <v>-116</v>
      </c>
      <c r="E21" s="13">
        <f t="shared" ref="E21:E22" si="51">Q21-SUM(B21:D21)</f>
        <v>-46</v>
      </c>
      <c r="F21" s="13">
        <f>28-61</f>
        <v>-33</v>
      </c>
      <c r="G21" s="13">
        <f>26-44</f>
        <v>-18</v>
      </c>
      <c r="H21" s="13">
        <f>86-53</f>
        <v>33</v>
      </c>
      <c r="I21" s="13">
        <f t="shared" ref="I21:I22" si="52">R21-SUM(F21:H21)</f>
        <v>124</v>
      </c>
      <c r="J21" s="13">
        <f>213-29</f>
        <v>184</v>
      </c>
      <c r="K21" s="13">
        <f>238-28</f>
        <v>210</v>
      </c>
      <c r="L21" s="13">
        <f>282-38</f>
        <v>244</v>
      </c>
      <c r="M21" s="13">
        <f t="shared" ref="M21:M22" si="53">S21-SUM(J21:L21)</f>
        <v>272</v>
      </c>
      <c r="N21" s="13">
        <f>350-76</f>
        <v>274</v>
      </c>
      <c r="O21" s="13">
        <f>348-86</f>
        <v>262</v>
      </c>
      <c r="P21" s="13"/>
      <c r="Q21" s="13">
        <f>56-371</f>
        <v>-315</v>
      </c>
      <c r="R21" s="13">
        <f>297-191</f>
        <v>106</v>
      </c>
      <c r="S21" s="13">
        <f>1066-156</f>
        <v>910</v>
      </c>
      <c r="T21" s="13">
        <f>S54*0.04</f>
        <v>954.56000000000006</v>
      </c>
      <c r="U21" s="13">
        <f>T21*0.965</f>
        <v>921.15039999999999</v>
      </c>
      <c r="V21" s="13">
        <f t="shared" ref="V21:Z21" si="54">U21*0.965</f>
        <v>888.91013599999997</v>
      </c>
      <c r="W21" s="13">
        <f t="shared" si="54"/>
        <v>857.79828123999994</v>
      </c>
      <c r="X21" s="13">
        <f t="shared" si="54"/>
        <v>827.77534139659997</v>
      </c>
      <c r="Y21" s="13">
        <f t="shared" si="54"/>
        <v>798.80320444771894</v>
      </c>
      <c r="Z21" s="13">
        <f t="shared" si="54"/>
        <v>770.84509229204878</v>
      </c>
    </row>
    <row r="22" spans="1:80" x14ac:dyDescent="0.25">
      <c r="A22" s="12" t="s">
        <v>37</v>
      </c>
      <c r="B22" s="13">
        <v>28</v>
      </c>
      <c r="C22" s="13">
        <v>45</v>
      </c>
      <c r="D22" s="13">
        <v>-6</v>
      </c>
      <c r="E22" s="13">
        <f t="shared" si="51"/>
        <v>68</v>
      </c>
      <c r="F22" s="13">
        <v>56</v>
      </c>
      <c r="G22" s="13">
        <v>28</v>
      </c>
      <c r="H22" s="13">
        <v>-85</v>
      </c>
      <c r="I22" s="13">
        <f t="shared" si="52"/>
        <v>-42</v>
      </c>
      <c r="J22" s="13">
        <v>-48</v>
      </c>
      <c r="K22" s="13">
        <v>328</v>
      </c>
      <c r="L22" s="13">
        <v>37</v>
      </c>
      <c r="M22" s="13">
        <f t="shared" si="53"/>
        <v>-145</v>
      </c>
      <c r="N22" s="13">
        <v>108</v>
      </c>
      <c r="O22" s="13">
        <v>20</v>
      </c>
      <c r="P22" s="13"/>
      <c r="Q22" s="13">
        <v>135</v>
      </c>
      <c r="R22" s="13">
        <v>-43</v>
      </c>
      <c r="S22" s="13">
        <v>172</v>
      </c>
      <c r="T22" s="13">
        <v>0</v>
      </c>
      <c r="U22" s="13">
        <v>0</v>
      </c>
      <c r="V22" s="13">
        <v>0</v>
      </c>
      <c r="W22" s="13">
        <v>0</v>
      </c>
      <c r="X22" s="13">
        <v>0</v>
      </c>
      <c r="Y22" s="13">
        <v>0</v>
      </c>
      <c r="Z22" s="13">
        <v>0</v>
      </c>
    </row>
    <row r="23" spans="1:80" x14ac:dyDescent="0.25">
      <c r="A23" s="12" t="s">
        <v>38</v>
      </c>
      <c r="B23" s="13">
        <f t="shared" ref="B23:O23" si="55">B20+B21+B22</f>
        <v>533</v>
      </c>
      <c r="C23" s="13">
        <f t="shared" si="55"/>
        <v>1293</v>
      </c>
      <c r="D23" s="13">
        <f t="shared" si="55"/>
        <v>1882</v>
      </c>
      <c r="E23" s="13">
        <f t="shared" si="55"/>
        <v>2635</v>
      </c>
      <c r="F23" s="13">
        <f t="shared" si="55"/>
        <v>3626</v>
      </c>
      <c r="G23" s="13">
        <f t="shared" si="55"/>
        <v>2474</v>
      </c>
      <c r="H23" s="13">
        <f t="shared" si="55"/>
        <v>3636</v>
      </c>
      <c r="I23" s="13">
        <f t="shared" si="55"/>
        <v>3983</v>
      </c>
      <c r="J23" s="13">
        <f t="shared" si="55"/>
        <v>2800</v>
      </c>
      <c r="K23" s="13">
        <f t="shared" si="55"/>
        <v>2937</v>
      </c>
      <c r="L23" s="13">
        <f t="shared" si="55"/>
        <v>2045</v>
      </c>
      <c r="M23" s="13">
        <f t="shared" si="55"/>
        <v>2191</v>
      </c>
      <c r="N23" s="13">
        <f t="shared" si="55"/>
        <v>1553</v>
      </c>
      <c r="O23" s="13">
        <f t="shared" si="55"/>
        <v>1887</v>
      </c>
      <c r="P23" s="13"/>
      <c r="Q23" s="13">
        <f>Q20+Q21+Q22</f>
        <v>6343</v>
      </c>
      <c r="R23" s="13">
        <f t="shared" ref="R23:Z23" si="56">R20+R21+R22</f>
        <v>13719</v>
      </c>
      <c r="S23" s="13">
        <f t="shared" si="56"/>
        <v>9973</v>
      </c>
      <c r="T23" s="13">
        <f t="shared" si="56"/>
        <v>14757.243929999993</v>
      </c>
      <c r="U23" s="13">
        <f t="shared" si="56"/>
        <v>21439.690162999985</v>
      </c>
      <c r="V23" s="13">
        <f t="shared" si="56"/>
        <v>29429.921325761814</v>
      </c>
      <c r="W23" s="13">
        <f t="shared" si="56"/>
        <v>35164.27489603596</v>
      </c>
      <c r="X23" s="13">
        <f t="shared" si="56"/>
        <v>45713.164584085389</v>
      </c>
      <c r="Y23" s="13">
        <f t="shared" si="56"/>
        <v>53734.304166857306</v>
      </c>
      <c r="Z23" s="13">
        <f t="shared" si="56"/>
        <v>62224.775313840306</v>
      </c>
    </row>
    <row r="24" spans="1:80" x14ac:dyDescent="0.25">
      <c r="A24" s="12" t="s">
        <v>39</v>
      </c>
      <c r="B24" s="13">
        <v>69</v>
      </c>
      <c r="C24" s="13">
        <v>115</v>
      </c>
      <c r="D24" s="13">
        <v>223</v>
      </c>
      <c r="E24" s="13">
        <f>Q24-SUM(B24:D24)</f>
        <v>292</v>
      </c>
      <c r="F24" s="13">
        <v>346</v>
      </c>
      <c r="G24" s="13">
        <v>205</v>
      </c>
      <c r="H24" s="13">
        <v>305</v>
      </c>
      <c r="I24" s="13">
        <f>R24-SUM(F24:H24)</f>
        <v>276</v>
      </c>
      <c r="J24" s="13">
        <v>261</v>
      </c>
      <c r="K24" s="13">
        <v>323</v>
      </c>
      <c r="L24" s="13">
        <v>167</v>
      </c>
      <c r="M24" s="13">
        <f>S24-SUM(J24:L24)</f>
        <v>-5752</v>
      </c>
      <c r="N24" s="13">
        <v>409</v>
      </c>
      <c r="O24" s="13">
        <v>393</v>
      </c>
      <c r="P24" s="13"/>
      <c r="Q24" s="13">
        <v>699</v>
      </c>
      <c r="R24" s="13">
        <v>1132</v>
      </c>
      <c r="S24" s="13">
        <v>-5001</v>
      </c>
      <c r="T24" s="13">
        <f>T23*0.22</f>
        <v>3246.5936645999986</v>
      </c>
      <c r="U24" s="13">
        <f t="shared" ref="U24:Z24" si="57">U23*0.22</f>
        <v>4716.7318358599969</v>
      </c>
      <c r="V24" s="13">
        <f t="shared" si="57"/>
        <v>6474.5826916675987</v>
      </c>
      <c r="W24" s="13">
        <f t="shared" si="57"/>
        <v>7736.1404771279113</v>
      </c>
      <c r="X24" s="13">
        <f t="shared" si="57"/>
        <v>10056.896208498785</v>
      </c>
      <c r="Y24" s="13">
        <f t="shared" si="57"/>
        <v>11821.546916708607</v>
      </c>
      <c r="Z24" s="13">
        <f t="shared" si="57"/>
        <v>13689.450569044868</v>
      </c>
    </row>
    <row r="25" spans="1:80" x14ac:dyDescent="0.25">
      <c r="A25" s="11" t="s">
        <v>40</v>
      </c>
      <c r="B25" s="16">
        <f t="shared" ref="B25:O25" si="58">B23-B24</f>
        <v>464</v>
      </c>
      <c r="C25" s="16">
        <f t="shared" si="58"/>
        <v>1178</v>
      </c>
      <c r="D25" s="16">
        <f t="shared" si="58"/>
        <v>1659</v>
      </c>
      <c r="E25" s="16">
        <f t="shared" si="58"/>
        <v>2343</v>
      </c>
      <c r="F25" s="16">
        <f t="shared" si="58"/>
        <v>3280</v>
      </c>
      <c r="G25" s="16">
        <f t="shared" si="58"/>
        <v>2269</v>
      </c>
      <c r="H25" s="16">
        <f t="shared" si="58"/>
        <v>3331</v>
      </c>
      <c r="I25" s="16">
        <f t="shared" si="58"/>
        <v>3707</v>
      </c>
      <c r="J25" s="16">
        <f t="shared" si="58"/>
        <v>2539</v>
      </c>
      <c r="K25" s="16">
        <f t="shared" si="58"/>
        <v>2614</v>
      </c>
      <c r="L25" s="16">
        <f t="shared" si="58"/>
        <v>1878</v>
      </c>
      <c r="M25" s="16">
        <f t="shared" si="58"/>
        <v>7943</v>
      </c>
      <c r="N25" s="16">
        <f t="shared" si="58"/>
        <v>1144</v>
      </c>
      <c r="O25" s="16">
        <f t="shared" si="58"/>
        <v>1494</v>
      </c>
      <c r="P25" s="16"/>
      <c r="Q25" s="16">
        <f>Q23-Q24</f>
        <v>5644</v>
      </c>
      <c r="R25" s="16">
        <f t="shared" ref="R25:Z25" si="59">R23-R24</f>
        <v>12587</v>
      </c>
      <c r="S25" s="16">
        <f t="shared" si="59"/>
        <v>14974</v>
      </c>
      <c r="T25" s="16">
        <f t="shared" si="59"/>
        <v>11510.650265399994</v>
      </c>
      <c r="U25" s="16">
        <f t="shared" si="59"/>
        <v>16722.95832713999</v>
      </c>
      <c r="V25" s="16">
        <f t="shared" si="59"/>
        <v>22955.338634094216</v>
      </c>
      <c r="W25" s="16">
        <f t="shared" si="59"/>
        <v>27428.134418908048</v>
      </c>
      <c r="X25" s="16">
        <f t="shared" si="59"/>
        <v>35656.268375586602</v>
      </c>
      <c r="Y25" s="16">
        <f t="shared" si="59"/>
        <v>41912.757250148701</v>
      </c>
      <c r="Z25" s="16">
        <f t="shared" si="59"/>
        <v>48535.324744795435</v>
      </c>
      <c r="AA25" s="16">
        <f>Z25*(1+$AC$3)</f>
        <v>49506.031239691343</v>
      </c>
      <c r="AB25" s="16">
        <f t="shared" ref="AB25:CB25" si="60">AA25*(1+$AC$3)</f>
        <v>50496.151864485168</v>
      </c>
      <c r="AC25" s="16">
        <f t="shared" si="60"/>
        <v>51506.074901774875</v>
      </c>
      <c r="AD25" s="16">
        <f t="shared" si="60"/>
        <v>52536.196399810375</v>
      </c>
      <c r="AE25" s="16">
        <f t="shared" si="60"/>
        <v>53586.920327806583</v>
      </c>
      <c r="AF25" s="16">
        <f t="shared" si="60"/>
        <v>54658.658734362718</v>
      </c>
      <c r="AG25" s="16">
        <f t="shared" si="60"/>
        <v>55751.831909049972</v>
      </c>
      <c r="AH25" s="16">
        <f t="shared" si="60"/>
        <v>56866.868547230973</v>
      </c>
      <c r="AI25" s="16">
        <f t="shared" si="60"/>
        <v>58004.20591817559</v>
      </c>
      <c r="AJ25" s="16">
        <f t="shared" si="60"/>
        <v>59164.290036539103</v>
      </c>
      <c r="AK25" s="16">
        <f t="shared" si="60"/>
        <v>60347.575837269884</v>
      </c>
      <c r="AL25" s="16">
        <f t="shared" si="60"/>
        <v>61554.527354015285</v>
      </c>
      <c r="AM25" s="16">
        <f t="shared" si="60"/>
        <v>62785.617901095589</v>
      </c>
      <c r="AN25" s="16">
        <f t="shared" si="60"/>
        <v>64041.330259117502</v>
      </c>
      <c r="AO25" s="16">
        <f t="shared" si="60"/>
        <v>65322.156864299854</v>
      </c>
      <c r="AP25" s="16">
        <f t="shared" si="60"/>
        <v>66628.600001585859</v>
      </c>
      <c r="AQ25" s="16">
        <f t="shared" si="60"/>
        <v>67961.172001617582</v>
      </c>
      <c r="AR25" s="16">
        <f t="shared" si="60"/>
        <v>69320.395441649933</v>
      </c>
      <c r="AS25" s="16">
        <f t="shared" si="60"/>
        <v>70706.803350482936</v>
      </c>
      <c r="AT25" s="16">
        <f t="shared" si="60"/>
        <v>72120.939417492598</v>
      </c>
      <c r="AU25" s="16">
        <f t="shared" si="60"/>
        <v>73563.358205842451</v>
      </c>
      <c r="AV25" s="16">
        <f t="shared" si="60"/>
        <v>75034.625369959307</v>
      </c>
      <c r="AW25" s="16">
        <f t="shared" si="60"/>
        <v>76535.317877358495</v>
      </c>
      <c r="AX25" s="16">
        <f t="shared" si="60"/>
        <v>78066.024234905664</v>
      </c>
      <c r="AY25" s="16">
        <f t="shared" si="60"/>
        <v>79627.344719603774</v>
      </c>
      <c r="AZ25" s="16">
        <f t="shared" si="60"/>
        <v>81219.891613995846</v>
      </c>
      <c r="BA25" s="16">
        <f t="shared" si="60"/>
        <v>82844.289446275769</v>
      </c>
      <c r="BB25" s="16">
        <f t="shared" si="60"/>
        <v>84501.175235201285</v>
      </c>
      <c r="BC25" s="16">
        <f t="shared" si="60"/>
        <v>86191.198739905318</v>
      </c>
      <c r="BD25" s="16">
        <f t="shared" si="60"/>
        <v>87915.022714703431</v>
      </c>
      <c r="BE25" s="16">
        <f t="shared" si="60"/>
        <v>89673.323168997507</v>
      </c>
      <c r="BF25" s="16">
        <f t="shared" si="60"/>
        <v>91466.789632377462</v>
      </c>
      <c r="BG25" s="16">
        <f t="shared" si="60"/>
        <v>93296.125425025006</v>
      </c>
      <c r="BH25" s="16">
        <f t="shared" si="60"/>
        <v>95162.047933525508</v>
      </c>
      <c r="BI25" s="16">
        <f t="shared" si="60"/>
        <v>97065.288892196026</v>
      </c>
      <c r="BJ25" s="16">
        <f t="shared" si="60"/>
        <v>99006.594670039951</v>
      </c>
      <c r="BK25" s="16">
        <f t="shared" si="60"/>
        <v>100986.72656344075</v>
      </c>
      <c r="BL25" s="16">
        <f t="shared" si="60"/>
        <v>103006.46109470956</v>
      </c>
      <c r="BM25" s="16">
        <f t="shared" si="60"/>
        <v>105066.59031660376</v>
      </c>
      <c r="BN25" s="16">
        <f t="shared" si="60"/>
        <v>107167.92212293584</v>
      </c>
      <c r="BO25" s="16">
        <f t="shared" si="60"/>
        <v>109311.28056539455</v>
      </c>
      <c r="BP25" s="16">
        <f t="shared" si="60"/>
        <v>111497.50617670245</v>
      </c>
      <c r="BQ25" s="16">
        <f t="shared" si="60"/>
        <v>113727.4563002365</v>
      </c>
      <c r="BR25" s="16">
        <f t="shared" si="60"/>
        <v>116002.00542624123</v>
      </c>
      <c r="BS25" s="16">
        <f t="shared" si="60"/>
        <v>118322.04553476606</v>
      </c>
      <c r="BT25" s="16">
        <f t="shared" si="60"/>
        <v>120688.48644546139</v>
      </c>
      <c r="BU25" s="16">
        <f t="shared" si="60"/>
        <v>123102.25617437062</v>
      </c>
      <c r="BV25" s="16">
        <f t="shared" si="60"/>
        <v>125564.30129785804</v>
      </c>
      <c r="BW25" s="16">
        <f t="shared" si="60"/>
        <v>128075.5873238152</v>
      </c>
      <c r="BX25" s="16">
        <f t="shared" si="60"/>
        <v>130637.0990702915</v>
      </c>
      <c r="BY25" s="16">
        <f t="shared" si="60"/>
        <v>133249.84105169732</v>
      </c>
      <c r="BZ25" s="16">
        <f t="shared" si="60"/>
        <v>135914.83787273127</v>
      </c>
      <c r="CA25" s="16">
        <f t="shared" si="60"/>
        <v>138633.1346301859</v>
      </c>
      <c r="CB25" s="16">
        <f t="shared" si="60"/>
        <v>141405.79732278961</v>
      </c>
    </row>
    <row r="26" spans="1:80" x14ac:dyDescent="0.25">
      <c r="A26" s="12" t="s">
        <v>41</v>
      </c>
      <c r="B26" s="13">
        <v>1133</v>
      </c>
      <c r="C26" s="13">
        <v>1119</v>
      </c>
      <c r="D26" s="13">
        <v>3369</v>
      </c>
      <c r="E26" s="13">
        <v>3386</v>
      </c>
      <c r="F26" s="13">
        <v>1157</v>
      </c>
      <c r="G26" s="13">
        <v>1155</v>
      </c>
      <c r="H26" s="13">
        <v>3468</v>
      </c>
      <c r="I26" s="13">
        <v>3475</v>
      </c>
      <c r="J26" s="13">
        <v>3468</v>
      </c>
      <c r="K26" s="13">
        <v>3478</v>
      </c>
      <c r="L26" s="13">
        <v>3493</v>
      </c>
      <c r="M26" s="13">
        <v>3485</v>
      </c>
      <c r="N26" s="13">
        <v>3484</v>
      </c>
      <c r="O26" s="13">
        <v>3481</v>
      </c>
      <c r="P26" s="13"/>
      <c r="Q26" s="13">
        <v>3386</v>
      </c>
      <c r="R26" s="13">
        <v>3475</v>
      </c>
      <c r="S26" s="13">
        <v>3485</v>
      </c>
      <c r="T26" s="13">
        <f>S26*0.98</f>
        <v>3415.2999999999997</v>
      </c>
      <c r="U26" s="13">
        <f t="shared" ref="U26:Z26" si="61">T26*0.98</f>
        <v>3346.9939999999997</v>
      </c>
      <c r="V26" s="13">
        <f t="shared" si="61"/>
        <v>3280.0541199999998</v>
      </c>
      <c r="W26" s="13">
        <f t="shared" si="61"/>
        <v>3214.4530375999998</v>
      </c>
      <c r="X26" s="13">
        <f t="shared" si="61"/>
        <v>3150.1639768479999</v>
      </c>
      <c r="Y26" s="13">
        <f t="shared" si="61"/>
        <v>3087.1606973110397</v>
      </c>
      <c r="Z26" s="13">
        <f t="shared" si="61"/>
        <v>3025.417483364819</v>
      </c>
    </row>
    <row r="27" spans="1:80" x14ac:dyDescent="0.25">
      <c r="A27" s="12" t="s">
        <v>42</v>
      </c>
      <c r="B27" s="15">
        <f t="shared" ref="B27:O27" si="62">B25/B26</f>
        <v>0.4095322153574581</v>
      </c>
      <c r="C27" s="15">
        <f t="shared" si="62"/>
        <v>1.0527256478999107</v>
      </c>
      <c r="D27" s="15">
        <f t="shared" si="62"/>
        <v>0.49243098842386462</v>
      </c>
      <c r="E27" s="15">
        <f t="shared" si="62"/>
        <v>0.69196692262256354</v>
      </c>
      <c r="F27" s="15">
        <f t="shared" si="62"/>
        <v>2.8349178910976662</v>
      </c>
      <c r="G27" s="15">
        <f t="shared" si="62"/>
        <v>1.9645021645021645</v>
      </c>
      <c r="H27" s="15">
        <f t="shared" si="62"/>
        <v>0.96049596309111884</v>
      </c>
      <c r="I27" s="15">
        <f t="shared" si="62"/>
        <v>1.0667625899280575</v>
      </c>
      <c r="J27" s="15">
        <f t="shared" si="62"/>
        <v>0.73212226066897346</v>
      </c>
      <c r="K27" s="15">
        <f t="shared" si="62"/>
        <v>0.75158136860264524</v>
      </c>
      <c r="L27" s="15">
        <f t="shared" si="62"/>
        <v>0.53764672201545949</v>
      </c>
      <c r="M27" s="15">
        <f t="shared" si="62"/>
        <v>2.2791965566714492</v>
      </c>
      <c r="N27" s="15">
        <f t="shared" si="62"/>
        <v>0.32835820895522388</v>
      </c>
      <c r="O27" s="15">
        <f t="shared" si="62"/>
        <v>0.42918701522550989</v>
      </c>
      <c r="Q27" s="15">
        <f>Q25/Q26</f>
        <v>1.6668635558180744</v>
      </c>
      <c r="R27" s="15">
        <f t="shared" ref="R27:Z27" si="63">R25/R26</f>
        <v>3.6221582733812951</v>
      </c>
      <c r="S27" s="15">
        <f t="shared" si="63"/>
        <v>4.2967001434720231</v>
      </c>
      <c r="T27" s="15">
        <f t="shared" si="63"/>
        <v>3.3703189369601483</v>
      </c>
      <c r="U27" s="15">
        <f t="shared" si="63"/>
        <v>4.9964112057386396</v>
      </c>
      <c r="V27" s="15">
        <f t="shared" si="63"/>
        <v>6.9984633772122695</v>
      </c>
      <c r="W27" s="15">
        <f t="shared" si="63"/>
        <v>8.5327531925576547</v>
      </c>
      <c r="X27" s="15">
        <f t="shared" si="63"/>
        <v>11.318861061722778</v>
      </c>
      <c r="Y27" s="15">
        <f t="shared" si="63"/>
        <v>13.576474100183804</v>
      </c>
      <c r="Z27" s="15">
        <f t="shared" si="63"/>
        <v>16.042521407926568</v>
      </c>
    </row>
    <row r="29" spans="1:80" x14ac:dyDescent="0.25">
      <c r="A29" s="12" t="s">
        <v>43</v>
      </c>
      <c r="B29" s="13">
        <v>1641</v>
      </c>
      <c r="C29" s="13">
        <v>3765</v>
      </c>
      <c r="D29" s="13">
        <v>6912</v>
      </c>
      <c r="E29" s="13">
        <v>4585</v>
      </c>
      <c r="F29" s="13">
        <v>3995</v>
      </c>
      <c r="G29" s="13">
        <v>6346</v>
      </c>
      <c r="H29" s="13">
        <v>11446</v>
      </c>
      <c r="I29" s="13">
        <v>3278</v>
      </c>
      <c r="J29" s="13">
        <v>2513</v>
      </c>
      <c r="K29" s="13">
        <v>5578</v>
      </c>
      <c r="L29" s="13">
        <v>8886</v>
      </c>
      <c r="M29" s="13">
        <v>4370</v>
      </c>
      <c r="N29" s="13">
        <v>242</v>
      </c>
      <c r="O29" s="13">
        <v>3612</v>
      </c>
      <c r="P29" s="13"/>
      <c r="Q29" s="13">
        <v>11497</v>
      </c>
      <c r="R29" s="13">
        <v>14724</v>
      </c>
      <c r="S29" s="13">
        <v>13256</v>
      </c>
      <c r="T29" s="13"/>
      <c r="U29" s="13"/>
      <c r="V29" s="13"/>
      <c r="W29" s="13"/>
      <c r="X29" s="13"/>
      <c r="Y29" s="13"/>
      <c r="Z29" s="13"/>
    </row>
    <row r="30" spans="1:80" x14ac:dyDescent="0.25">
      <c r="A30" s="12" t="s">
        <v>44</v>
      </c>
      <c r="B30" s="13">
        <v>1348</v>
      </c>
      <c r="C30" s="13">
        <v>2835</v>
      </c>
      <c r="D30" s="13">
        <v>4672</v>
      </c>
      <c r="E30" s="13">
        <v>1814</v>
      </c>
      <c r="F30" s="13">
        <v>1767</v>
      </c>
      <c r="G30" s="13">
        <v>3497</v>
      </c>
      <c r="H30" s="13">
        <v>5300</v>
      </c>
      <c r="I30" s="13">
        <v>1858</v>
      </c>
      <c r="J30" s="13">
        <v>2072</v>
      </c>
      <c r="K30" s="13">
        <v>4132</v>
      </c>
      <c r="L30" s="13">
        <v>6592</v>
      </c>
      <c r="M30" s="13">
        <v>2307</v>
      </c>
      <c r="N30" s="13">
        <v>2773</v>
      </c>
      <c r="O30" s="13">
        <v>2270</v>
      </c>
      <c r="P30" s="13"/>
      <c r="Q30" s="13">
        <v>6482</v>
      </c>
      <c r="R30" s="13">
        <v>7158</v>
      </c>
      <c r="S30" s="13">
        <v>8898</v>
      </c>
      <c r="T30" s="13"/>
      <c r="U30" s="13"/>
      <c r="V30" s="13"/>
      <c r="W30" s="13"/>
      <c r="X30" s="13"/>
      <c r="Y30" s="13"/>
      <c r="Z30" s="13"/>
    </row>
    <row r="31" spans="1:80" x14ac:dyDescent="0.25">
      <c r="A31" s="11" t="s">
        <v>45</v>
      </c>
      <c r="B31" s="16">
        <f>B29-B30</f>
        <v>293</v>
      </c>
      <c r="C31" s="16">
        <f t="shared" ref="C31:O31" si="64">C29-C30</f>
        <v>930</v>
      </c>
      <c r="D31" s="16">
        <f t="shared" si="64"/>
        <v>2240</v>
      </c>
      <c r="E31" s="16">
        <f t="shared" si="64"/>
        <v>2771</v>
      </c>
      <c r="F31" s="16">
        <f t="shared" si="64"/>
        <v>2228</v>
      </c>
      <c r="G31" s="16">
        <f t="shared" si="64"/>
        <v>2849</v>
      </c>
      <c r="H31" s="16">
        <f t="shared" si="64"/>
        <v>6146</v>
      </c>
      <c r="I31" s="16">
        <f t="shared" si="64"/>
        <v>1420</v>
      </c>
      <c r="J31" s="16">
        <f t="shared" si="64"/>
        <v>441</v>
      </c>
      <c r="K31" s="16">
        <f t="shared" si="64"/>
        <v>1446</v>
      </c>
      <c r="L31" s="16">
        <f t="shared" si="64"/>
        <v>2294</v>
      </c>
      <c r="M31" s="16">
        <f t="shared" si="64"/>
        <v>2063</v>
      </c>
      <c r="N31" s="16">
        <f t="shared" si="64"/>
        <v>-2531</v>
      </c>
      <c r="O31" s="16">
        <f t="shared" si="64"/>
        <v>1342</v>
      </c>
      <c r="P31" s="16"/>
      <c r="Q31" s="16">
        <f t="shared" ref="Q31:Z31" si="65">Q29-Q30</f>
        <v>5015</v>
      </c>
      <c r="R31" s="16">
        <f t="shared" si="65"/>
        <v>7566</v>
      </c>
      <c r="S31" s="16">
        <f t="shared" si="65"/>
        <v>4358</v>
      </c>
      <c r="T31" s="16">
        <f t="shared" si="65"/>
        <v>0</v>
      </c>
      <c r="U31" s="16">
        <f t="shared" si="65"/>
        <v>0</v>
      </c>
      <c r="V31" s="16">
        <f t="shared" si="65"/>
        <v>0</v>
      </c>
      <c r="W31" s="16">
        <f t="shared" si="65"/>
        <v>0</v>
      </c>
      <c r="X31" s="16">
        <f t="shared" si="65"/>
        <v>0</v>
      </c>
      <c r="Y31" s="16">
        <f t="shared" si="65"/>
        <v>0</v>
      </c>
      <c r="Z31" s="16">
        <f t="shared" si="65"/>
        <v>0</v>
      </c>
    </row>
    <row r="33" spans="1:26" x14ac:dyDescent="0.25">
      <c r="A33" s="12" t="s">
        <v>46</v>
      </c>
      <c r="B33" s="14"/>
      <c r="C33" s="14"/>
      <c r="D33" s="14"/>
      <c r="E33" s="14"/>
      <c r="F33" s="14">
        <f>F8/B8-1</f>
        <v>0.80537106555010096</v>
      </c>
      <c r="G33" s="14">
        <f t="shared" ref="G33:M33" si="66">G8/C8-1</f>
        <v>0.41612309750794441</v>
      </c>
      <c r="H33" s="14">
        <f t="shared" si="66"/>
        <v>0.55949698335392894</v>
      </c>
      <c r="I33" s="14">
        <f t="shared" si="66"/>
        <v>0.37242508042214562</v>
      </c>
      <c r="J33" s="14">
        <f t="shared" si="66"/>
        <v>0.24381531243335464</v>
      </c>
      <c r="K33" s="14">
        <f t="shared" si="66"/>
        <v>0.47200897602456604</v>
      </c>
      <c r="L33" s="14">
        <f t="shared" si="66"/>
        <v>8.8375128181224838E-2</v>
      </c>
      <c r="M33" s="14">
        <f t="shared" si="66"/>
        <v>3.4912410560078877E-2</v>
      </c>
      <c r="N33" s="14">
        <f t="shared" ref="N33" si="67">N8/J8-1</f>
        <v>-8.6930429936988296E-2</v>
      </c>
      <c r="O33" s="14">
        <f t="shared" ref="O33" si="68">O8/K8-1</f>
        <v>2.2987122397400306E-2</v>
      </c>
      <c r="Q33" s="14"/>
      <c r="R33" s="14">
        <f>R8/Q8-1</f>
        <v>0.51351652639206291</v>
      </c>
      <c r="S33" s="14">
        <f t="shared" ref="S33:Z33" si="69">S8/R8-1</f>
        <v>0.18795266504627928</v>
      </c>
      <c r="T33" s="14">
        <f>T8/S8-1</f>
        <v>0.35480125654883077</v>
      </c>
      <c r="U33" s="14">
        <f t="shared" si="69"/>
        <v>0.2447565429211731</v>
      </c>
      <c r="V33" s="14">
        <f t="shared" si="69"/>
        <v>0.21633465650913775</v>
      </c>
      <c r="W33" s="14">
        <f t="shared" si="69"/>
        <v>0.19173549079543584</v>
      </c>
      <c r="X33" s="14">
        <f t="shared" si="69"/>
        <v>0.17665139841952282</v>
      </c>
      <c r="Y33" s="14">
        <f t="shared" si="69"/>
        <v>0.17933412733278264</v>
      </c>
      <c r="Z33" s="14">
        <f t="shared" si="69"/>
        <v>0.1660418611790504</v>
      </c>
    </row>
    <row r="34" spans="1:26" x14ac:dyDescent="0.25">
      <c r="A34" s="12" t="s">
        <v>47</v>
      </c>
      <c r="B34" s="14">
        <f>B15/B8</f>
        <v>0.21320627586870727</v>
      </c>
      <c r="C34" s="14">
        <f t="shared" ref="C34:M34" si="70">C15/C8</f>
        <v>0.24117745442381669</v>
      </c>
      <c r="D34" s="14">
        <f t="shared" si="70"/>
        <v>0.26604637639020134</v>
      </c>
      <c r="E34" s="14">
        <f t="shared" si="70"/>
        <v>0.27354816863254133</v>
      </c>
      <c r="F34" s="14">
        <f t="shared" si="70"/>
        <v>0.29110684580934099</v>
      </c>
      <c r="G34" s="14">
        <f t="shared" si="70"/>
        <v>0.25002952639659853</v>
      </c>
      <c r="H34" s="14">
        <f t="shared" si="70"/>
        <v>0.25086231005873033</v>
      </c>
      <c r="I34" s="14">
        <f t="shared" si="70"/>
        <v>0.23756065465910026</v>
      </c>
      <c r="J34" s="14">
        <f t="shared" si="70"/>
        <v>0.19336448197522396</v>
      </c>
      <c r="K34" s="14">
        <f t="shared" si="70"/>
        <v>0.18185100493440848</v>
      </c>
      <c r="L34" s="14">
        <f t="shared" si="70"/>
        <v>0.17892933618843684</v>
      </c>
      <c r="M34" s="14">
        <f t="shared" si="70"/>
        <v>0.17634203520483172</v>
      </c>
      <c r="N34" s="14">
        <f t="shared" ref="N34:O34" si="71">N15/N8</f>
        <v>0.1735129806112389</v>
      </c>
      <c r="O34" s="14">
        <f t="shared" si="71"/>
        <v>0.17952941176470588</v>
      </c>
      <c r="Q34" s="14">
        <f>Q15/Q8</f>
        <v>0.25279155751258753</v>
      </c>
      <c r="R34" s="14">
        <f t="shared" ref="R34:Z34" si="72">R15/R8</f>
        <v>0.25598438535759005</v>
      </c>
      <c r="S34" s="14">
        <f t="shared" si="72"/>
        <v>0.18248891736331416</v>
      </c>
      <c r="T34" s="14">
        <f t="shared" si="72"/>
        <v>0.1932770599015704</v>
      </c>
      <c r="U34" s="14">
        <f t="shared" si="72"/>
        <v>0.21372806658470986</v>
      </c>
      <c r="V34" s="14">
        <f t="shared" si="72"/>
        <v>0.22878118600315048</v>
      </c>
      <c r="W34" s="14">
        <f t="shared" si="72"/>
        <v>0.23002035020766495</v>
      </c>
      <c r="X34" s="14">
        <f t="shared" si="72"/>
        <v>0.24625382054888828</v>
      </c>
      <c r="Y34" s="14">
        <f t="shared" si="72"/>
        <v>0.24625573850954022</v>
      </c>
      <c r="Z34" s="14">
        <f t="shared" si="72"/>
        <v>0.24554754615365082</v>
      </c>
    </row>
    <row r="35" spans="1:26" x14ac:dyDescent="0.25">
      <c r="A35" s="12" t="s">
        <v>48</v>
      </c>
      <c r="B35" s="14">
        <f>B20/B8</f>
        <v>5.7175859081721049E-2</v>
      </c>
      <c r="C35" s="14">
        <f t="shared" ref="C35:M35" si="73">C20/C8</f>
        <v>0.10971734403746446</v>
      </c>
      <c r="D35" s="14">
        <f t="shared" si="73"/>
        <v>0.14567129461365122</v>
      </c>
      <c r="E35" s="14">
        <f t="shared" si="73"/>
        <v>0.1474688187820983</v>
      </c>
      <c r="F35" s="14">
        <f t="shared" si="73"/>
        <v>0.19209852847088932</v>
      </c>
      <c r="G35" s="14">
        <f t="shared" si="73"/>
        <v>0.1455060824376993</v>
      </c>
      <c r="H35" s="14">
        <f t="shared" si="73"/>
        <v>0.17190267549174978</v>
      </c>
      <c r="I35" s="14">
        <f t="shared" si="73"/>
        <v>0.16041615264413192</v>
      </c>
      <c r="J35" s="14">
        <f t="shared" si="73"/>
        <v>0.11419263577521539</v>
      </c>
      <c r="K35" s="14">
        <f t="shared" si="73"/>
        <v>9.6241023789465238E-2</v>
      </c>
      <c r="L35" s="14">
        <f t="shared" si="73"/>
        <v>7.5546038543897215E-2</v>
      </c>
      <c r="M35" s="14">
        <f t="shared" si="73"/>
        <v>8.2012158779353916E-2</v>
      </c>
      <c r="N35" s="14">
        <f t="shared" ref="N35:O35" si="74">N20/N8</f>
        <v>5.4973944885216654E-2</v>
      </c>
      <c r="O35" s="14">
        <f t="shared" si="74"/>
        <v>6.2941176470588237E-2</v>
      </c>
      <c r="Q35" s="14">
        <f>Q20/Q8</f>
        <v>0.12119354179440016</v>
      </c>
      <c r="R35" s="14">
        <f t="shared" ref="R35:Z35" si="75">R20/R8</f>
        <v>0.16763644398615304</v>
      </c>
      <c r="S35" s="14">
        <f t="shared" si="75"/>
        <v>9.1874799789197395E-2</v>
      </c>
      <c r="T35" s="14">
        <f t="shared" si="75"/>
        <v>0.10527705990157039</v>
      </c>
      <c r="U35" s="14">
        <f t="shared" si="75"/>
        <v>0.12572806658470986</v>
      </c>
      <c r="V35" s="14">
        <f t="shared" si="75"/>
        <v>0.14378118600315049</v>
      </c>
      <c r="W35" s="14">
        <f t="shared" si="75"/>
        <v>0.14502035020766496</v>
      </c>
      <c r="X35" s="14">
        <f t="shared" si="75"/>
        <v>0.16125382054888829</v>
      </c>
      <c r="Y35" s="14">
        <f t="shared" si="75"/>
        <v>0.1612557385095402</v>
      </c>
      <c r="Z35" s="14">
        <f t="shared" si="75"/>
        <v>0.16054754615365083</v>
      </c>
    </row>
    <row r="36" spans="1:26" x14ac:dyDescent="0.25">
      <c r="A36" s="12" t="s">
        <v>49</v>
      </c>
      <c r="B36" s="14">
        <f>B25/B8</f>
        <v>4.4662623929155841E-2</v>
      </c>
      <c r="C36" s="14">
        <f t="shared" ref="C36:M36" si="76">C25/C8</f>
        <v>9.8511456765345382E-2</v>
      </c>
      <c r="D36" s="14">
        <f t="shared" si="76"/>
        <v>0.12059315257686996</v>
      </c>
      <c r="E36" s="14">
        <f t="shared" si="76"/>
        <v>0.13223093854054968</v>
      </c>
      <c r="F36" s="14">
        <f t="shared" si="76"/>
        <v>0.17487737257410962</v>
      </c>
      <c r="G36" s="14">
        <f t="shared" si="76"/>
        <v>0.13399078776426124</v>
      </c>
      <c r="H36" s="14">
        <f t="shared" si="76"/>
        <v>0.15526242192598116</v>
      </c>
      <c r="I36" s="14">
        <f t="shared" si="76"/>
        <v>0.15243852290484414</v>
      </c>
      <c r="J36" s="14">
        <f t="shared" si="76"/>
        <v>0.10883449783531227</v>
      </c>
      <c r="K36" s="14">
        <f t="shared" si="76"/>
        <v>0.10486620933124724</v>
      </c>
      <c r="L36" s="14">
        <f t="shared" si="76"/>
        <v>8.0428265524625273E-2</v>
      </c>
      <c r="M36" s="14">
        <f t="shared" si="76"/>
        <v>0.31561171375213576</v>
      </c>
      <c r="N36" s="14">
        <f t="shared" ref="N36:O36" si="77">N25/N8</f>
        <v>5.3706398760621568E-2</v>
      </c>
      <c r="O36" s="14">
        <f t="shared" si="77"/>
        <v>5.8588235294117649E-2</v>
      </c>
      <c r="Q36" s="14">
        <f>Q25/Q8</f>
        <v>0.10486223361759843</v>
      </c>
      <c r="R36" s="14">
        <f t="shared" ref="R36:Z36" si="78">R25/R8</f>
        <v>0.15451376101740688</v>
      </c>
      <c r="S36" s="14">
        <f t="shared" si="78"/>
        <v>0.1547332417099811</v>
      </c>
      <c r="T36" s="14">
        <f t="shared" si="78"/>
        <v>8.7795056645663769E-2</v>
      </c>
      <c r="U36" s="14">
        <f t="shared" si="78"/>
        <v>0.10247050922402359</v>
      </c>
      <c r="V36" s="14">
        <f t="shared" si="78"/>
        <v>0.11564221715795316</v>
      </c>
      <c r="W36" s="14">
        <f t="shared" si="78"/>
        <v>0.11594421961879489</v>
      </c>
      <c r="X36" s="14">
        <f t="shared" si="78"/>
        <v>0.12809757471394526</v>
      </c>
      <c r="Y36" s="14">
        <f t="shared" si="78"/>
        <v>0.12767750376336789</v>
      </c>
      <c r="Z36" s="14">
        <f t="shared" si="78"/>
        <v>0.12679786730410292</v>
      </c>
    </row>
    <row r="38" spans="1:26" x14ac:dyDescent="0.25">
      <c r="A38" s="12" t="s">
        <v>132</v>
      </c>
      <c r="R38" s="14">
        <f>+(R20-Q20)/(R8-Q8)</f>
        <v>0.25807735446289665</v>
      </c>
      <c r="S38" s="14">
        <f t="shared" ref="S38:Z38" si="79">+(S20-R20)/(S8-R8)</f>
        <v>-0.3112141597544249</v>
      </c>
      <c r="T38" s="14">
        <f t="shared" si="79"/>
        <v>0.14305105270739482</v>
      </c>
      <c r="U38" s="14">
        <f t="shared" si="79"/>
        <v>0.20928459356885659</v>
      </c>
      <c r="V38" s="14">
        <f t="shared" si="79"/>
        <v>0.22723115056154791</v>
      </c>
      <c r="W38" s="14">
        <f t="shared" si="79"/>
        <v>0.15148323404504768</v>
      </c>
      <c r="X38" s="14">
        <f t="shared" si="79"/>
        <v>0.2531493304993449</v>
      </c>
      <c r="Y38" s="14">
        <f t="shared" si="79"/>
        <v>0.16126643341006161</v>
      </c>
      <c r="Z38" s="14">
        <f t="shared" si="79"/>
        <v>0.15628240270813318</v>
      </c>
    </row>
    <row r="40" spans="1:26" x14ac:dyDescent="0.25">
      <c r="A40" s="12" t="s">
        <v>50</v>
      </c>
    </row>
    <row r="41" spans="1:26" x14ac:dyDescent="0.25">
      <c r="A41" s="12" t="s">
        <v>51</v>
      </c>
      <c r="B41" s="13">
        <v>182780</v>
      </c>
      <c r="C41" s="13">
        <v>199360</v>
      </c>
      <c r="D41" s="13">
        <v>325158</v>
      </c>
      <c r="E41" s="13">
        <v>296850</v>
      </c>
      <c r="F41" s="13">
        <v>295324</v>
      </c>
      <c r="G41" s="13">
        <v>238533</v>
      </c>
      <c r="H41" s="13">
        <v>325158</v>
      </c>
      <c r="I41" s="13">
        <v>388131</v>
      </c>
      <c r="J41" s="13">
        <v>412180</v>
      </c>
      <c r="K41" s="13">
        <v>446915</v>
      </c>
      <c r="L41" s="13">
        <v>419074</v>
      </c>
      <c r="M41" s="13">
        <v>461538</v>
      </c>
      <c r="N41" s="13">
        <v>369783</v>
      </c>
      <c r="O41" s="13">
        <v>422405</v>
      </c>
      <c r="P41" s="13"/>
      <c r="Q41" s="13">
        <v>911208</v>
      </c>
      <c r="R41" s="13">
        <v>1247146</v>
      </c>
      <c r="S41" s="13">
        <v>1739707</v>
      </c>
      <c r="T41" s="13">
        <f>S41*1.2</f>
        <v>2087648.4</v>
      </c>
      <c r="U41" s="13">
        <f>T41*1.18</f>
        <v>2463425.1119999997</v>
      </c>
      <c r="V41" s="13">
        <f>U41*1.15</f>
        <v>2832938.8787999996</v>
      </c>
      <c r="W41" s="13">
        <f>V41*1.12</f>
        <v>3172891.5442559998</v>
      </c>
      <c r="X41" s="13">
        <f>W41*1.1</f>
        <v>3490180.6986815999</v>
      </c>
      <c r="Y41" s="13">
        <f>X41*1.1</f>
        <v>3839198.7685497603</v>
      </c>
      <c r="Z41" s="13">
        <f>Y41*1.08</f>
        <v>4146334.6700337413</v>
      </c>
    </row>
    <row r="42" spans="1:26" x14ac:dyDescent="0.25">
      <c r="A42" s="12" t="s">
        <v>57</v>
      </c>
      <c r="B42" s="13">
        <v>2020</v>
      </c>
      <c r="C42" s="13">
        <v>1890</v>
      </c>
      <c r="D42" s="13">
        <v>18672</v>
      </c>
      <c r="E42" s="13">
        <v>11750</v>
      </c>
      <c r="F42" s="13">
        <v>14724</v>
      </c>
      <c r="G42" s="13">
        <v>16162</v>
      </c>
      <c r="H42" s="13">
        <v>18672</v>
      </c>
      <c r="I42" s="13">
        <v>17147</v>
      </c>
      <c r="J42" s="13">
        <v>10695</v>
      </c>
      <c r="K42" s="13">
        <v>19225</v>
      </c>
      <c r="L42" s="13">
        <v>15985</v>
      </c>
      <c r="M42" s="13">
        <v>22969</v>
      </c>
      <c r="N42" s="13">
        <v>17027</v>
      </c>
      <c r="O42" s="13">
        <v>21551</v>
      </c>
      <c r="P42" s="13"/>
      <c r="Q42" s="13">
        <v>24964</v>
      </c>
      <c r="R42" s="13">
        <v>66705</v>
      </c>
      <c r="S42" s="13">
        <v>68874</v>
      </c>
      <c r="T42" s="13">
        <f>S42*1.15</f>
        <v>79205.099999999991</v>
      </c>
      <c r="U42" s="13">
        <f>T42*1.13</f>
        <v>89501.762999999977</v>
      </c>
      <c r="V42" s="13">
        <f t="shared" ref="V42:Z42" si="80">U42*1.12</f>
        <v>100241.97455999999</v>
      </c>
      <c r="W42" s="13">
        <f t="shared" si="80"/>
        <v>112271.01150719999</v>
      </c>
      <c r="X42" s="13">
        <f t="shared" si="80"/>
        <v>125743.532888064</v>
      </c>
      <c r="Y42" s="13">
        <f t="shared" si="80"/>
        <v>140832.7568346317</v>
      </c>
      <c r="Z42" s="13">
        <f t="shared" si="80"/>
        <v>157732.68765478753</v>
      </c>
    </row>
    <row r="43" spans="1:26" x14ac:dyDescent="0.25">
      <c r="A43" s="12" t="s">
        <v>52</v>
      </c>
      <c r="B43" s="13">
        <f>B41+B42</f>
        <v>184800</v>
      </c>
      <c r="C43" s="13">
        <f t="shared" ref="C43:N43" si="81">C41+C42</f>
        <v>201250</v>
      </c>
      <c r="D43" s="13">
        <f t="shared" si="81"/>
        <v>343830</v>
      </c>
      <c r="E43" s="13">
        <f t="shared" si="81"/>
        <v>308600</v>
      </c>
      <c r="F43" s="13">
        <f t="shared" si="81"/>
        <v>310048</v>
      </c>
      <c r="G43" s="13">
        <f t="shared" si="81"/>
        <v>254695</v>
      </c>
      <c r="H43" s="13">
        <f t="shared" si="81"/>
        <v>343830</v>
      </c>
      <c r="I43" s="13">
        <f t="shared" si="81"/>
        <v>405278</v>
      </c>
      <c r="J43" s="13">
        <f t="shared" si="81"/>
        <v>422875</v>
      </c>
      <c r="K43" s="13">
        <f t="shared" si="81"/>
        <v>466140</v>
      </c>
      <c r="L43" s="13">
        <f t="shared" si="81"/>
        <v>435059</v>
      </c>
      <c r="M43" s="13">
        <f t="shared" si="81"/>
        <v>484507</v>
      </c>
      <c r="N43" s="13">
        <f t="shared" si="81"/>
        <v>386810</v>
      </c>
      <c r="O43" s="13">
        <f t="shared" ref="O43" si="82">O41+O42</f>
        <v>443956</v>
      </c>
      <c r="P43" s="13"/>
      <c r="Q43" s="13">
        <f t="shared" ref="Q43:Z43" si="83">Q41+Q42</f>
        <v>936172</v>
      </c>
      <c r="R43" s="13">
        <f t="shared" si="83"/>
        <v>1313851</v>
      </c>
      <c r="S43" s="13">
        <f t="shared" si="83"/>
        <v>1808581</v>
      </c>
      <c r="T43" s="13">
        <f t="shared" si="83"/>
        <v>2166853.5</v>
      </c>
      <c r="U43" s="13">
        <f t="shared" si="83"/>
        <v>2552926.8749999995</v>
      </c>
      <c r="V43" s="13">
        <f t="shared" si="83"/>
        <v>2933180.8533599996</v>
      </c>
      <c r="W43" s="13">
        <f t="shared" si="83"/>
        <v>3285162.5557631999</v>
      </c>
      <c r="X43" s="13">
        <f t="shared" si="83"/>
        <v>3615924.2315696641</v>
      </c>
      <c r="Y43" s="13">
        <f t="shared" si="83"/>
        <v>3980031.5253843921</v>
      </c>
      <c r="Z43" s="13">
        <f t="shared" si="83"/>
        <v>4304067.3576885285</v>
      </c>
    </row>
    <row r="44" spans="1:26" x14ac:dyDescent="0.25">
      <c r="A44" s="12" t="s">
        <v>105</v>
      </c>
      <c r="F44" s="14">
        <f t="shared" ref="F44:M44" si="84">F43/B43-1</f>
        <v>0.67774891774891777</v>
      </c>
      <c r="G44" s="14">
        <f t="shared" si="84"/>
        <v>0.26556521739130434</v>
      </c>
      <c r="H44" s="14">
        <f t="shared" si="84"/>
        <v>0</v>
      </c>
      <c r="I44" s="14">
        <f t="shared" si="84"/>
        <v>0.31327932598833441</v>
      </c>
      <c r="J44" s="14">
        <f t="shared" si="84"/>
        <v>0.36390171844359576</v>
      </c>
      <c r="K44" s="14">
        <f t="shared" si="84"/>
        <v>0.83018904964761764</v>
      </c>
      <c r="L44" s="14">
        <f t="shared" si="84"/>
        <v>0.26533170462146982</v>
      </c>
      <c r="M44" s="14">
        <f t="shared" si="84"/>
        <v>0.19549297025745282</v>
      </c>
      <c r="N44" s="14">
        <f>N43/J43-1</f>
        <v>-8.5285249778303318E-2</v>
      </c>
      <c r="O44" s="14">
        <f t="shared" ref="O44" si="85">O43/K43-1</f>
        <v>-4.7590852533573647E-2</v>
      </c>
    </row>
    <row r="45" spans="1:26" x14ac:dyDescent="0.25">
      <c r="A45" s="12" t="s">
        <v>53</v>
      </c>
    </row>
    <row r="46" spans="1:26" x14ac:dyDescent="0.25">
      <c r="A46" s="12" t="s">
        <v>54</v>
      </c>
      <c r="Q46" s="18">
        <v>23973</v>
      </c>
      <c r="R46" s="18">
        <v>40553</v>
      </c>
      <c r="S46" s="18">
        <v>45235</v>
      </c>
      <c r="T46" s="18"/>
      <c r="U46" s="18"/>
      <c r="V46" s="18"/>
      <c r="W46" s="18"/>
      <c r="X46" s="18"/>
      <c r="Y46" s="18"/>
      <c r="Z46" s="18"/>
    </row>
    <row r="47" spans="1:26" x14ac:dyDescent="0.25">
      <c r="A47" s="12" t="s">
        <v>55</v>
      </c>
      <c r="Q47" s="18">
        <v>13844</v>
      </c>
      <c r="R47" s="18">
        <v>18145</v>
      </c>
      <c r="S47" s="18">
        <v>21745</v>
      </c>
      <c r="T47" s="18"/>
      <c r="U47" s="18"/>
      <c r="V47" s="18"/>
      <c r="W47" s="18"/>
      <c r="X47" s="18"/>
      <c r="Y47" s="18"/>
      <c r="Z47" s="18"/>
    </row>
    <row r="48" spans="1:26" x14ac:dyDescent="0.25">
      <c r="A48" s="12" t="s">
        <v>56</v>
      </c>
      <c r="Q48" s="18">
        <v>16006</v>
      </c>
      <c r="R48" s="18">
        <v>22764</v>
      </c>
      <c r="S48" s="18">
        <v>29793</v>
      </c>
      <c r="T48" s="18"/>
      <c r="U48" s="18"/>
      <c r="V48" s="18"/>
      <c r="W48" s="18"/>
      <c r="X48" s="18"/>
      <c r="Y48" s="18"/>
      <c r="Z48" s="18"/>
    </row>
    <row r="50" spans="1:26" x14ac:dyDescent="0.25">
      <c r="A50" s="12" t="s">
        <v>60</v>
      </c>
      <c r="B50" s="15">
        <f t="shared" ref="B50:M50" si="86">B8*1000000/B43</f>
        <v>56217.532467532466</v>
      </c>
      <c r="C50" s="15">
        <f t="shared" si="86"/>
        <v>59418.63354037267</v>
      </c>
      <c r="D50" s="15">
        <f t="shared" si="86"/>
        <v>40011.051973358924</v>
      </c>
      <c r="E50" s="15">
        <f t="shared" si="86"/>
        <v>57417.368762151651</v>
      </c>
      <c r="F50" s="15">
        <f t="shared" si="86"/>
        <v>60493.859015378264</v>
      </c>
      <c r="G50" s="15">
        <f t="shared" si="86"/>
        <v>66487.367243173212</v>
      </c>
      <c r="H50" s="15">
        <f t="shared" si="86"/>
        <v>62397.114853270512</v>
      </c>
      <c r="I50" s="15">
        <f t="shared" si="86"/>
        <v>60003.25702357394</v>
      </c>
      <c r="J50" s="15">
        <f t="shared" si="86"/>
        <v>55167.60271947975</v>
      </c>
      <c r="K50" s="15">
        <f t="shared" si="86"/>
        <v>53475.350752992665</v>
      </c>
      <c r="L50" s="15">
        <f t="shared" si="86"/>
        <v>53670.881420680875</v>
      </c>
      <c r="M50" s="15">
        <f t="shared" si="86"/>
        <v>51943.52197181878</v>
      </c>
      <c r="N50" s="15">
        <f t="shared" ref="N50:O50" si="87">N8*1000000/N43</f>
        <v>55068.379824720148</v>
      </c>
      <c r="O50" s="15">
        <f t="shared" si="87"/>
        <v>57438.124498824211</v>
      </c>
      <c r="P50" s="15"/>
      <c r="Q50" s="15">
        <f>Q8*1000000/Q43</f>
        <v>57492.640241323177</v>
      </c>
      <c r="R50" s="15">
        <f t="shared" ref="R50:S50" si="88">R8*1000000/R43</f>
        <v>62002.464510815917</v>
      </c>
      <c r="S50" s="15">
        <f t="shared" si="88"/>
        <v>53507.694706513008</v>
      </c>
      <c r="T50" s="15">
        <v>52000</v>
      </c>
      <c r="U50" s="15">
        <f>T50*1.05</f>
        <v>54600</v>
      </c>
      <c r="V50" s="15">
        <f t="shared" ref="V50:Z50" si="89">U50*1.05</f>
        <v>57330</v>
      </c>
      <c r="W50" s="15">
        <f t="shared" si="89"/>
        <v>60196.5</v>
      </c>
      <c r="X50" s="15">
        <f t="shared" si="89"/>
        <v>63206.325000000004</v>
      </c>
      <c r="Y50" s="15">
        <f t="shared" si="89"/>
        <v>66366.641250000001</v>
      </c>
      <c r="Z50" s="15">
        <f t="shared" si="89"/>
        <v>69684.973312500006</v>
      </c>
    </row>
    <row r="51" spans="1:26" x14ac:dyDescent="0.25">
      <c r="A51" s="12" t="s">
        <v>62</v>
      </c>
      <c r="B51" s="19">
        <f>(B5-B11)/B5</f>
        <v>0.2649411241946234</v>
      </c>
      <c r="C51" s="19">
        <f t="shared" ref="C51:M51" si="90">(C5-C11)/C5</f>
        <v>0.28404859886341366</v>
      </c>
      <c r="D51" s="19">
        <f t="shared" si="90"/>
        <v>0.30463631085676368</v>
      </c>
      <c r="E51" s="19">
        <f t="shared" si="90"/>
        <v>0.30575562096824699</v>
      </c>
      <c r="F51" s="19">
        <f t="shared" si="90"/>
        <v>0.32850957831682581</v>
      </c>
      <c r="G51" s="19">
        <f t="shared" si="90"/>
        <v>0.27948226270373921</v>
      </c>
      <c r="H51" s="19">
        <f t="shared" si="90"/>
        <v>0.27883586561095658</v>
      </c>
      <c r="I51" s="19">
        <f t="shared" si="90"/>
        <v>0.2591636551368095</v>
      </c>
      <c r="J51" s="19">
        <f t="shared" si="90"/>
        <v>0.21078996142864298</v>
      </c>
      <c r="K51" s="19">
        <f t="shared" si="90"/>
        <v>0.19226067331201804</v>
      </c>
      <c r="L51" s="19">
        <f t="shared" si="90"/>
        <v>0.18690445859872612</v>
      </c>
      <c r="M51" s="19">
        <f t="shared" si="90"/>
        <v>0.18851736771321245</v>
      </c>
      <c r="N51" s="19">
        <f t="shared" ref="N51:O51" si="91">(N5-N11)/N5</f>
        <v>0.18483139601795373</v>
      </c>
      <c r="O51" s="19">
        <f t="shared" si="91"/>
        <v>0.18467652681356272</v>
      </c>
      <c r="Q51" s="20">
        <f t="shared" ref="Q51:Z51" si="92">(Q5-Q11)/Q5</f>
        <v>0.29300050813008133</v>
      </c>
      <c r="R51" s="20">
        <f t="shared" si="92"/>
        <v>0.28482270297500767</v>
      </c>
      <c r="S51" s="20">
        <f t="shared" si="92"/>
        <v>0.19449398803673909</v>
      </c>
      <c r="T51" s="20">
        <f>(T5-T11)/T5</f>
        <v>0.20103701897350584</v>
      </c>
      <c r="U51" s="20">
        <f t="shared" si="92"/>
        <v>0.22212118572417958</v>
      </c>
      <c r="V51" s="20">
        <f t="shared" si="92"/>
        <v>0.23701508245618802</v>
      </c>
      <c r="W51" s="20">
        <f t="shared" si="92"/>
        <v>0.23743945853732704</v>
      </c>
      <c r="X51" s="20">
        <f t="shared" si="92"/>
        <v>0.25721194721759993</v>
      </c>
      <c r="Y51" s="20">
        <f t="shared" si="92"/>
        <v>0.25757216445142517</v>
      </c>
      <c r="Z51" s="20">
        <f t="shared" si="92"/>
        <v>0.25723773396359612</v>
      </c>
    </row>
    <row r="52" spans="1:26" x14ac:dyDescent="0.25">
      <c r="A52" s="12" t="s">
        <v>63</v>
      </c>
      <c r="B52" s="15">
        <f>(B11*1000000)/B43</f>
        <v>35806.277056277053</v>
      </c>
      <c r="C52" s="15">
        <f t="shared" ref="C52:M52" si="93">(C11*1000000)/C43</f>
        <v>36308.074534161489</v>
      </c>
      <c r="D52" s="15">
        <f t="shared" si="93"/>
        <v>24384.143326643982</v>
      </c>
      <c r="E52" s="15">
        <f t="shared" si="93"/>
        <v>35920.285158781597</v>
      </c>
      <c r="F52" s="15">
        <f t="shared" si="93"/>
        <v>36516.926411394365</v>
      </c>
      <c r="G52" s="15">
        <f t="shared" si="93"/>
        <v>41308.231414044247</v>
      </c>
      <c r="H52" s="15">
        <f t="shared" si="93"/>
        <v>39205.421283773961</v>
      </c>
      <c r="I52" s="15">
        <f t="shared" si="93"/>
        <v>38948.573571721143</v>
      </c>
      <c r="J52" s="15">
        <f t="shared" si="93"/>
        <v>37256.872598285547</v>
      </c>
      <c r="K52" s="15">
        <f t="shared" si="93"/>
        <v>36853.734929420345</v>
      </c>
      <c r="L52" s="15">
        <f t="shared" si="93"/>
        <v>36677.783932753948</v>
      </c>
      <c r="M52" s="15">
        <f t="shared" si="93"/>
        <v>36115.061289104182</v>
      </c>
      <c r="N52" s="15">
        <f t="shared" ref="N52:O52" si="94">(N11*1000000)/N43</f>
        <v>36622.631265996228</v>
      </c>
      <c r="O52" s="15">
        <f t="shared" si="94"/>
        <v>36505.869951076231</v>
      </c>
      <c r="P52" s="15"/>
      <c r="Q52" s="15">
        <f t="shared" ref="Q52:Z52" si="95">(Q11*1000000)/Q43</f>
        <v>35669.727357793228</v>
      </c>
      <c r="R52" s="15">
        <f t="shared" si="95"/>
        <v>38899.388134575383</v>
      </c>
      <c r="S52" s="15">
        <f t="shared" si="95"/>
        <v>36707.783615995082</v>
      </c>
      <c r="T52" s="15"/>
      <c r="U52" s="15">
        <f t="shared" si="95"/>
        <v>42472.183259459794</v>
      </c>
      <c r="V52" s="15">
        <f t="shared" si="95"/>
        <v>43741.925322786738</v>
      </c>
      <c r="W52" s="15">
        <f t="shared" si="95"/>
        <v>45903.475634157796</v>
      </c>
      <c r="X52" s="15">
        <f t="shared" si="95"/>
        <v>46948.903070281536</v>
      </c>
      <c r="Y52" s="15">
        <f t="shared" si="95"/>
        <v>49272.441815866267</v>
      </c>
      <c r="Z52" s="15">
        <f t="shared" si="95"/>
        <v>51759.368686278838</v>
      </c>
    </row>
    <row r="54" spans="1:26" x14ac:dyDescent="0.25">
      <c r="A54" s="12" t="s">
        <v>64</v>
      </c>
      <c r="Q54" s="18"/>
      <c r="R54" s="18">
        <f>16253+5932-1502-1597</f>
        <v>19086</v>
      </c>
      <c r="S54" s="18">
        <f>16398+12696-2373-2857</f>
        <v>23864</v>
      </c>
      <c r="T54" s="18">
        <f>S54+(T25*0.1)</f>
        <v>25015.06502654</v>
      </c>
      <c r="U54" s="18">
        <f t="shared" ref="U54:Z54" si="96">T54+(U25*0.1)</f>
        <v>26687.360859254</v>
      </c>
      <c r="V54" s="18">
        <f t="shared" si="96"/>
        <v>28982.894722663423</v>
      </c>
      <c r="W54" s="18">
        <f t="shared" si="96"/>
        <v>31725.708164554228</v>
      </c>
      <c r="X54" s="18">
        <f t="shared" si="96"/>
        <v>35291.335002112886</v>
      </c>
      <c r="Y54" s="18">
        <f t="shared" si="96"/>
        <v>39482.610727127758</v>
      </c>
      <c r="Z54" s="18">
        <f t="shared" si="96"/>
        <v>44336.143201607301</v>
      </c>
    </row>
    <row r="56" spans="1:26" x14ac:dyDescent="0.25">
      <c r="A56" s="12" t="s">
        <v>65</v>
      </c>
    </row>
    <row r="57" spans="1:26" x14ac:dyDescent="0.25">
      <c r="A57" s="12" t="s">
        <v>66</v>
      </c>
      <c r="Q57" s="26"/>
      <c r="R57" s="26">
        <f>16253+5932</f>
        <v>22185</v>
      </c>
      <c r="S57" s="26">
        <f>16398+12696</f>
        <v>29094</v>
      </c>
    </row>
    <row r="58" spans="1:26" x14ac:dyDescent="0.25">
      <c r="A58" s="12" t="s">
        <v>67</v>
      </c>
      <c r="Q58" s="26"/>
      <c r="R58" s="26">
        <v>2952</v>
      </c>
      <c r="S58" s="26">
        <v>3508</v>
      </c>
    </row>
    <row r="59" spans="1:26" x14ac:dyDescent="0.25">
      <c r="A59" s="12" t="s">
        <v>68</v>
      </c>
      <c r="Q59" s="26"/>
      <c r="R59" s="26">
        <v>12839</v>
      </c>
      <c r="S59" s="26">
        <v>13626</v>
      </c>
    </row>
    <row r="60" spans="1:26" x14ac:dyDescent="0.25">
      <c r="A60" s="12" t="s">
        <v>69</v>
      </c>
      <c r="Q60" s="26"/>
      <c r="R60" s="26">
        <v>2941</v>
      </c>
      <c r="S60" s="26">
        <v>3388</v>
      </c>
    </row>
    <row r="61" spans="1:26" x14ac:dyDescent="0.25">
      <c r="A61" s="12" t="s">
        <v>70</v>
      </c>
      <c r="Q61" s="26"/>
      <c r="R61" s="26">
        <v>5035</v>
      </c>
      <c r="S61" s="26">
        <v>5989</v>
      </c>
    </row>
    <row r="62" spans="1:26" x14ac:dyDescent="0.25">
      <c r="A62" s="12" t="s">
        <v>71</v>
      </c>
      <c r="Q62" s="26"/>
      <c r="R62" s="26">
        <v>5489</v>
      </c>
      <c r="S62" s="26">
        <v>5229</v>
      </c>
    </row>
    <row r="63" spans="1:26" x14ac:dyDescent="0.25">
      <c r="A63" s="12" t="s">
        <v>72</v>
      </c>
      <c r="Q63" s="26"/>
      <c r="R63" s="26">
        <v>23548</v>
      </c>
      <c r="S63" s="26">
        <v>29725</v>
      </c>
    </row>
    <row r="64" spans="1:26" x14ac:dyDescent="0.25">
      <c r="A64" s="12" t="s">
        <v>73</v>
      </c>
      <c r="Q64" s="26"/>
      <c r="R64" s="26">
        <v>2563</v>
      </c>
      <c r="S64" s="26">
        <v>4180</v>
      </c>
    </row>
    <row r="65" spans="1:19" x14ac:dyDescent="0.25">
      <c r="A65" s="12" t="s">
        <v>74</v>
      </c>
      <c r="Q65" s="26"/>
      <c r="R65" s="26">
        <f>184+215+194</f>
        <v>593</v>
      </c>
      <c r="S65" s="26">
        <f>184+178+253</f>
        <v>615</v>
      </c>
    </row>
    <row r="66" spans="1:19" x14ac:dyDescent="0.25">
      <c r="A66" s="12" t="s">
        <v>75</v>
      </c>
      <c r="Q66" s="26"/>
      <c r="R66" s="26">
        <v>328</v>
      </c>
      <c r="S66" s="26">
        <v>6733</v>
      </c>
    </row>
    <row r="67" spans="1:19" x14ac:dyDescent="0.25">
      <c r="A67" s="12" t="s">
        <v>76</v>
      </c>
      <c r="Q67" s="26"/>
      <c r="R67" s="26">
        <v>3865</v>
      </c>
      <c r="S67" s="26">
        <v>4531</v>
      </c>
    </row>
    <row r="68" spans="1:19" x14ac:dyDescent="0.25">
      <c r="A68" s="11" t="s">
        <v>77</v>
      </c>
      <c r="Q68" s="26">
        <f t="shared" ref="Q68:R68" si="97">SUM(Q57:Q67)</f>
        <v>0</v>
      </c>
      <c r="R68" s="26">
        <f t="shared" si="97"/>
        <v>82338</v>
      </c>
      <c r="S68" s="26">
        <f>SUM(S57:S67)</f>
        <v>106618</v>
      </c>
    </row>
    <row r="69" spans="1:19" x14ac:dyDescent="0.25">
      <c r="Q69" s="26"/>
      <c r="R69" s="26"/>
      <c r="S69" s="26"/>
    </row>
    <row r="70" spans="1:19" x14ac:dyDescent="0.25">
      <c r="A70" s="12" t="s">
        <v>78</v>
      </c>
      <c r="Q70" s="26"/>
      <c r="R70" s="26">
        <v>15255</v>
      </c>
      <c r="S70" s="26">
        <v>14431</v>
      </c>
    </row>
    <row r="71" spans="1:19" x14ac:dyDescent="0.25">
      <c r="A71" s="12" t="s">
        <v>79</v>
      </c>
      <c r="Q71" s="26"/>
      <c r="R71" s="26">
        <v>8205</v>
      </c>
      <c r="S71" s="26">
        <v>9080</v>
      </c>
    </row>
    <row r="72" spans="1:19" x14ac:dyDescent="0.25">
      <c r="A72" s="12" t="s">
        <v>80</v>
      </c>
      <c r="Q72" s="26"/>
      <c r="R72" s="26">
        <f>1747+2804</f>
        <v>4551</v>
      </c>
      <c r="S72" s="26">
        <f>2864+3251</f>
        <v>6115</v>
      </c>
    </row>
    <row r="73" spans="1:19" x14ac:dyDescent="0.25">
      <c r="A73" s="12" t="s">
        <v>81</v>
      </c>
      <c r="Q73" s="26"/>
      <c r="R73" s="26">
        <f>1502+1597</f>
        <v>3099</v>
      </c>
      <c r="S73" s="26">
        <f>2373+2857</f>
        <v>5230</v>
      </c>
    </row>
    <row r="74" spans="1:19" x14ac:dyDescent="0.25">
      <c r="A74" s="12" t="s">
        <v>82</v>
      </c>
      <c r="Q74" s="26"/>
      <c r="R74" s="26">
        <v>5330</v>
      </c>
      <c r="S74" s="26">
        <v>8153</v>
      </c>
    </row>
    <row r="75" spans="1:19" x14ac:dyDescent="0.25">
      <c r="A75" s="11" t="s">
        <v>83</v>
      </c>
      <c r="Q75" s="26">
        <f t="shared" ref="Q75:R75" si="98">SUM(Q70:Q74)</f>
        <v>0</v>
      </c>
      <c r="R75" s="26">
        <f t="shared" si="98"/>
        <v>36440</v>
      </c>
      <c r="S75" s="26">
        <f>SUM(S70:S74)</f>
        <v>43009</v>
      </c>
    </row>
    <row r="76" spans="1:19" x14ac:dyDescent="0.25">
      <c r="Q76" s="26"/>
      <c r="R76" s="26"/>
      <c r="S76" s="26"/>
    </row>
    <row r="77" spans="1:19" x14ac:dyDescent="0.25">
      <c r="A77" s="11" t="s">
        <v>84</v>
      </c>
      <c r="B77" s="11"/>
      <c r="C77" s="11"/>
      <c r="D77" s="11"/>
      <c r="E77" s="11"/>
      <c r="F77" s="11"/>
      <c r="G77" s="11"/>
      <c r="H77" s="11"/>
      <c r="I77" s="11"/>
      <c r="J77" s="11"/>
      <c r="K77" s="11"/>
      <c r="L77" s="11"/>
      <c r="M77" s="11"/>
      <c r="N77" s="11"/>
      <c r="O77" s="11"/>
      <c r="P77" s="11"/>
      <c r="Q77" s="27">
        <f t="shared" ref="Q77:R77" si="99">Q68-Q75</f>
        <v>0</v>
      </c>
      <c r="R77" s="27">
        <f t="shared" si="99"/>
        <v>45898</v>
      </c>
      <c r="S77" s="27">
        <f>S68-S75</f>
        <v>63609</v>
      </c>
    </row>
  </sheetData>
  <hyperlinks>
    <hyperlink ref="A1" location="main!A1" display="main" xr:uid="{B17E96F6-EA50-445B-B677-B4E32AFFF48F}"/>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2024-02-04T09:17:01Z</dcterms:created>
  <dcterms:modified xsi:type="dcterms:W3CDTF">2024-10-02T21:24:45Z</dcterms:modified>
</cp:coreProperties>
</file>