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62BACE29-30EF-4CB7-ABFA-FC5D55239EF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 Output" sheetId="1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7" l="1"/>
  <c r="D21" i="17" s="1"/>
  <c r="C20" i="17"/>
  <c r="D20" i="17" s="1"/>
  <c r="C19" i="17"/>
  <c r="C17" i="17"/>
  <c r="D17" i="17" s="1"/>
  <c r="C16" i="17"/>
  <c r="D16" i="17" s="1"/>
  <c r="C15" i="17"/>
  <c r="D15" i="17" s="1"/>
  <c r="C13" i="17"/>
  <c r="D13" i="17" s="1"/>
  <c r="C12" i="17"/>
  <c r="D12" i="17" s="1"/>
  <c r="G12" i="17" s="1"/>
  <c r="C11" i="17"/>
  <c r="C14" i="17" s="1"/>
  <c r="C9" i="17"/>
  <c r="D9" i="17" s="1"/>
  <c r="C8" i="17"/>
  <c r="D8" i="17" s="1"/>
  <c r="C7" i="17"/>
  <c r="D7" i="17" s="1"/>
  <c r="C5" i="17"/>
  <c r="C4" i="17"/>
  <c r="D4" i="17" s="1"/>
  <c r="G4" i="17" s="1"/>
  <c r="C3" i="17"/>
  <c r="D3" i="17"/>
  <c r="F3" i="17" s="1"/>
  <c r="C6" i="17" l="1"/>
  <c r="D5" i="17"/>
  <c r="C22" i="17"/>
  <c r="D19" i="17"/>
  <c r="C18" i="17"/>
  <c r="D11" i="17"/>
  <c r="H11" i="17" s="1"/>
  <c r="C10" i="17"/>
  <c r="G3" i="17"/>
  <c r="H3" i="17"/>
  <c r="H19" i="17"/>
  <c r="H12" i="17"/>
  <c r="F12" i="17"/>
  <c r="H4" i="17"/>
  <c r="E21" i="17"/>
  <c r="F21" i="17"/>
  <c r="G21" i="17"/>
  <c r="H21" i="17"/>
  <c r="E20" i="17"/>
  <c r="F20" i="17"/>
  <c r="G20" i="17"/>
  <c r="H20" i="17"/>
  <c r="E19" i="17"/>
  <c r="E17" i="17"/>
  <c r="F17" i="17"/>
  <c r="G17" i="17"/>
  <c r="H17" i="17"/>
  <c r="E16" i="17"/>
  <c r="F16" i="17"/>
  <c r="G16" i="17"/>
  <c r="H16" i="17"/>
  <c r="E15" i="17"/>
  <c r="F15" i="17"/>
  <c r="G15" i="17"/>
  <c r="H15" i="17"/>
  <c r="E13" i="17"/>
  <c r="F13" i="17"/>
  <c r="G13" i="17"/>
  <c r="H13" i="17"/>
  <c r="E12" i="17"/>
  <c r="E11" i="17"/>
  <c r="F11" i="17"/>
  <c r="G11" i="17"/>
  <c r="E9" i="17"/>
  <c r="F9" i="17"/>
  <c r="G9" i="17"/>
  <c r="H9" i="17"/>
  <c r="E8" i="17"/>
  <c r="F8" i="17"/>
  <c r="G8" i="17"/>
  <c r="H8" i="17"/>
  <c r="F7" i="17"/>
  <c r="G7" i="17"/>
  <c r="E7" i="17"/>
  <c r="H7" i="17"/>
  <c r="E5" i="17"/>
  <c r="F5" i="17"/>
  <c r="G5" i="17"/>
  <c r="H5" i="17"/>
  <c r="E4" i="17"/>
  <c r="F4" i="17"/>
  <c r="E3" i="17"/>
  <c r="D22" i="17"/>
  <c r="D18" i="17"/>
  <c r="D14" i="17"/>
  <c r="D10" i="17"/>
  <c r="D6" i="17"/>
  <c r="E14" i="17" l="1"/>
  <c r="G6" i="17"/>
  <c r="I12" i="17"/>
  <c r="K12" i="17" s="1"/>
  <c r="H14" i="17"/>
  <c r="I3" i="17"/>
  <c r="K3" i="17" s="1"/>
  <c r="I15" i="17"/>
  <c r="L15" i="17" s="1"/>
  <c r="I7" i="17"/>
  <c r="L7" i="17" s="1"/>
  <c r="I21" i="17"/>
  <c r="J21" i="17" s="1"/>
  <c r="H22" i="17"/>
  <c r="F19" i="17"/>
  <c r="F22" i="17" s="1"/>
  <c r="G19" i="17"/>
  <c r="G22" i="17" s="1"/>
  <c r="F14" i="17"/>
  <c r="G10" i="17"/>
  <c r="I20" i="17"/>
  <c r="K20" i="17" s="1"/>
  <c r="I17" i="17"/>
  <c r="L17" i="17" s="1"/>
  <c r="H18" i="17"/>
  <c r="I16" i="17"/>
  <c r="K16" i="17" s="1"/>
  <c r="G14" i="17"/>
  <c r="I13" i="17"/>
  <c r="J13" i="17" s="1"/>
  <c r="I9" i="17"/>
  <c r="K9" i="17" s="1"/>
  <c r="H10" i="17"/>
  <c r="I8" i="17"/>
  <c r="L8" i="17" s="1"/>
  <c r="I5" i="17"/>
  <c r="L5" i="17" s="1"/>
  <c r="H6" i="17"/>
  <c r="I4" i="17"/>
  <c r="K4" i="17" s="1"/>
  <c r="L12" i="17"/>
  <c r="J12" i="17"/>
  <c r="I11" i="17"/>
  <c r="K7" i="17"/>
  <c r="E18" i="17"/>
  <c r="F18" i="17"/>
  <c r="F10" i="17"/>
  <c r="G18" i="17"/>
  <c r="E22" i="17"/>
  <c r="E10" i="17"/>
  <c r="F6" i="17"/>
  <c r="E6" i="17"/>
  <c r="K21" i="17" l="1"/>
  <c r="J4" i="17"/>
  <c r="J9" i="17"/>
  <c r="L9" i="17"/>
  <c r="I19" i="17"/>
  <c r="L19" i="17" s="1"/>
  <c r="L16" i="17"/>
  <c r="L21" i="17"/>
  <c r="J15" i="17"/>
  <c r="K15" i="17"/>
  <c r="K13" i="17"/>
  <c r="L13" i="17"/>
  <c r="J7" i="17"/>
  <c r="K19" i="17"/>
  <c r="K22" i="17" s="1"/>
  <c r="J19" i="17"/>
  <c r="J22" i="17" s="1"/>
  <c r="J17" i="17"/>
  <c r="K17" i="17"/>
  <c r="J16" i="17"/>
  <c r="L4" i="17"/>
  <c r="I22" i="17"/>
  <c r="L20" i="17"/>
  <c r="L22" i="17" s="1"/>
  <c r="J20" i="17"/>
  <c r="I10" i="17"/>
  <c r="J8" i="17"/>
  <c r="J10" i="17" s="1"/>
  <c r="K8" i="17"/>
  <c r="K10" i="17" s="1"/>
  <c r="J5" i="17"/>
  <c r="K5" i="17"/>
  <c r="K6" i="17" s="1"/>
  <c r="K11" i="17"/>
  <c r="L11" i="17"/>
  <c r="J11" i="17"/>
  <c r="I18" i="17"/>
  <c r="I14" i="17"/>
  <c r="L10" i="17"/>
  <c r="L3" i="17"/>
  <c r="I6" i="17"/>
  <c r="J3" i="17"/>
  <c r="L18" i="17"/>
  <c r="L6" i="17" l="1"/>
  <c r="J6" i="17"/>
  <c r="L14" i="17"/>
  <c r="K14" i="17"/>
  <c r="J18" i="17"/>
  <c r="J14" i="17"/>
  <c r="K18" i="17"/>
</calcChain>
</file>

<file path=xl/sharedStrings.xml><?xml version="1.0" encoding="utf-8"?>
<sst xmlns="http://schemas.openxmlformats.org/spreadsheetml/2006/main" count="39" uniqueCount="23">
  <si>
    <t>Product</t>
  </si>
  <si>
    <t>Aminomix 1 Novum</t>
  </si>
  <si>
    <t>Aminosteril N-Hepa 8%</t>
  </si>
  <si>
    <t>Omegaven</t>
  </si>
  <si>
    <t>Kabimustine</t>
  </si>
  <si>
    <t>Bevacizumab</t>
  </si>
  <si>
    <t>AmerisourceBergen</t>
  </si>
  <si>
    <t>Cardinal Health</t>
  </si>
  <si>
    <t>McKesson</t>
  </si>
  <si>
    <t>Units</t>
  </si>
  <si>
    <t>Current Reporting Period</t>
  </si>
  <si>
    <t>Forecast (Net Sales)</t>
  </si>
  <si>
    <t xml:space="preserve">Average </t>
  </si>
  <si>
    <t>Sub Total</t>
  </si>
  <si>
    <t>Chargeback $</t>
  </si>
  <si>
    <t>Net Sales $</t>
  </si>
  <si>
    <t>Fee For Service $</t>
  </si>
  <si>
    <t>Gross Sales</t>
  </si>
  <si>
    <t xml:space="preserve">Rebates $ </t>
  </si>
  <si>
    <t xml:space="preserve">Admin Fees $ </t>
  </si>
  <si>
    <t>Wholesaler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</si>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</sst>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2" fillId="0" borderId="5" xfId="0" applyNumberFormat="1" applyFont="1" applyBorder="1"/>
    <xf numFmtId="1" fontId="5" fillId="2" borderId="5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14C-34B7-4771-908D-12AEE6E758F2}">
  <dimension ref="A1:N24"/>
  <sheetViews>
    <sheetView tabSelected="1" workbookViewId="0">
      <selection activeCell="F26" sqref="F26"/>
    </sheetView>
  </sheetViews>
  <sheetFormatPr defaultRowHeight="14.4" x14ac:dyDescent="0.3"/>
  <cols>
    <col min="2" max="2" width="22" bestFit="1" customWidth="1"/>
    <col min="3" max="3" width="18.77734375" bestFit="1" customWidth="1"/>
    <col min="4" max="4" width="11" customWidth="1"/>
    <col min="5" max="5" width="23.77734375" style="2" customWidth="1"/>
    <col min="6" max="6" width="24.21875" style="2" customWidth="1"/>
    <col min="7" max="7" width="18.77734375" style="2" bestFit="1" customWidth="1"/>
    <col min="8" max="10" width="18.77734375" style="2" customWidth="1"/>
    <col min="11" max="11" width="26.5546875" style="2" bestFit="1" customWidth="1"/>
    <col min="12" max="12" width="26.5546875" style="2" customWidth="1"/>
    <col min="13" max="13" width="30.77734375" style="2" bestFit="1" customWidth="1"/>
  </cols>
  <sheetData>
    <row r="1" spans="1:14" ht="18" x14ac:dyDescent="0.35">
      <c r="A1" s="17"/>
      <c r="B1" s="18"/>
      <c r="C1" s="22" t="s">
        <v>10</v>
      </c>
      <c r="D1" s="23"/>
      <c r="E1" s="23"/>
      <c r="F1" s="23"/>
      <c r="G1" s="23"/>
      <c r="H1" s="23"/>
      <c r="I1" s="24"/>
      <c r="J1" s="25" t="s">
        <v>11</v>
      </c>
      <c r="K1" s="25"/>
      <c r="L1" s="26"/>
    </row>
    <row r="2" spans="1:14" ht="19.05" customHeight="1" x14ac:dyDescent="0.3">
      <c r="A2" s="4" t="s">
        <v>0</v>
      </c>
      <c r="B2" s="5" t="s">
        <v>20</v>
      </c>
      <c r="C2" s="7" t="s">
        <v>9</v>
      </c>
      <c r="D2" s="7" t="s">
        <v>17</v>
      </c>
      <c r="E2" s="7" t="s">
        <v>14</v>
      </c>
      <c r="F2" s="7" t="s">
        <v>18</v>
      </c>
      <c r="G2" s="7" t="s">
        <v>19</v>
      </c>
      <c r="H2" s="7" t="s">
        <v>16</v>
      </c>
      <c r="I2" s="7" t="s">
        <v>15</v>
      </c>
      <c r="J2" s="12" t="s">
        <v>21</v>
      </c>
      <c r="K2" s="12" t="s">
        <v>12</v>
      </c>
      <c r="L2" s="19" t="s">
        <v>22</v>
      </c>
    </row>
    <row r="3" spans="1:14" ht="15.6" customHeight="1" x14ac:dyDescent="0.3">
      <c r="A3" s="27" t="s">
        <v>1</v>
      </c>
      <c r="B3" s="3" t="s">
        <v>6</v>
      </c>
      <c r="C3" s="20">
        <f>47810/3</f>
        <v>15936.666666666666</v>
      </c>
      <c r="D3" s="8">
        <f>C3*1073</f>
        <v>17100043.333333332</v>
      </c>
      <c r="E3" s="8">
        <f>12%*D3</f>
        <v>2052005.1999999997</v>
      </c>
      <c r="F3" s="8">
        <f>5%*D3</f>
        <v>855002.16666666663</v>
      </c>
      <c r="G3" s="10">
        <f>2%*D3</f>
        <v>342000.86666666664</v>
      </c>
      <c r="H3" s="10">
        <f>1.5%*D3</f>
        <v>256500.64999999997</v>
      </c>
      <c r="I3" s="11">
        <f>D3-E3-F3-G3-H3</f>
        <v>13594534.449999999</v>
      </c>
      <c r="J3" s="13">
        <f>1.05*I3</f>
        <v>14274261.172499999</v>
      </c>
      <c r="K3" s="13">
        <f>I3</f>
        <v>13594534.449999999</v>
      </c>
      <c r="L3" s="13">
        <f>0.97*I3</f>
        <v>13186698.416499998</v>
      </c>
    </row>
    <row r="4" spans="1:14" ht="15.6" customHeight="1" x14ac:dyDescent="0.3">
      <c r="A4" s="27"/>
      <c r="B4" s="3" t="s">
        <v>7</v>
      </c>
      <c r="C4" s="3">
        <f>33099/3</f>
        <v>11033</v>
      </c>
      <c r="D4" s="8">
        <f>C4*1073</f>
        <v>11838409</v>
      </c>
      <c r="E4" s="8">
        <f>12%*D4</f>
        <v>1420609.0799999998</v>
      </c>
      <c r="F4" s="8">
        <f>5%*D4</f>
        <v>591920.45000000007</v>
      </c>
      <c r="G4" s="10">
        <f>2%*D4</f>
        <v>236768.18</v>
      </c>
      <c r="H4" s="10">
        <f>1.5%*D4</f>
        <v>177576.13499999998</v>
      </c>
      <c r="I4" s="11">
        <f>D4-E4-F4-G4-H4</f>
        <v>9411535.1550000012</v>
      </c>
      <c r="J4" s="13">
        <f>1.05*I4</f>
        <v>9882111.912750002</v>
      </c>
      <c r="K4" s="13">
        <f>I4</f>
        <v>9411535.1550000012</v>
      </c>
      <c r="L4" s="13">
        <f>0.97*I4</f>
        <v>9129189.1003500018</v>
      </c>
    </row>
    <row r="5" spans="1:14" ht="15" customHeight="1" x14ac:dyDescent="0.3">
      <c r="A5" s="27"/>
      <c r="B5" s="3" t="s">
        <v>8</v>
      </c>
      <c r="C5" s="20">
        <f>29422/3</f>
        <v>9807.3333333333339</v>
      </c>
      <c r="D5" s="8">
        <f>C5*1073</f>
        <v>10523268.666666668</v>
      </c>
      <c r="E5" s="8">
        <f>12%*D5</f>
        <v>1262792.24</v>
      </c>
      <c r="F5" s="8">
        <f>5%*D5</f>
        <v>526163.43333333347</v>
      </c>
      <c r="G5" s="10">
        <f>2%*D5</f>
        <v>210465.37333333335</v>
      </c>
      <c r="H5" s="10">
        <f>1.5%*D5</f>
        <v>157849.03</v>
      </c>
      <c r="I5" s="11">
        <f>D5-E5-F5-G5-H5</f>
        <v>8365998.5900000008</v>
      </c>
      <c r="J5" s="13">
        <f>1.05*I5</f>
        <v>8784298.5195000004</v>
      </c>
      <c r="K5" s="13">
        <f>I5</f>
        <v>8365998.5900000008</v>
      </c>
      <c r="L5" s="13">
        <f>0.97*I5</f>
        <v>8115018.6323000006</v>
      </c>
    </row>
    <row r="6" spans="1:14" ht="15" customHeight="1" x14ac:dyDescent="0.3">
      <c r="A6" s="27"/>
      <c r="B6" s="14" t="s">
        <v>13</v>
      </c>
      <c r="C6" s="14">
        <f>SUM(C3:C5)</f>
        <v>36777</v>
      </c>
      <c r="D6" s="15">
        <f t="shared" ref="D6:L6" si="0">SUM(D3:D5)</f>
        <v>39461721</v>
      </c>
      <c r="E6" s="15">
        <f t="shared" si="0"/>
        <v>4735406.5199999996</v>
      </c>
      <c r="F6" s="15">
        <f t="shared" si="0"/>
        <v>1973086.0500000003</v>
      </c>
      <c r="G6" s="15">
        <f t="shared" si="0"/>
        <v>789234.41999999993</v>
      </c>
      <c r="H6" s="15">
        <f t="shared" si="0"/>
        <v>591925.81499999994</v>
      </c>
      <c r="I6" s="15">
        <f t="shared" si="0"/>
        <v>31372068.195</v>
      </c>
      <c r="J6" s="16">
        <f t="shared" si="0"/>
        <v>32940671.60475</v>
      </c>
      <c r="K6" s="16">
        <f t="shared" si="0"/>
        <v>31372068.195</v>
      </c>
      <c r="L6" s="16">
        <f t="shared" si="0"/>
        <v>30430906.149150003</v>
      </c>
    </row>
    <row r="7" spans="1:14" ht="16.05" customHeight="1" x14ac:dyDescent="0.3">
      <c r="A7" s="27" t="s">
        <v>2</v>
      </c>
      <c r="B7" s="3" t="s">
        <v>6</v>
      </c>
      <c r="C7" s="20">
        <f>47257/3</f>
        <v>15752.333333333334</v>
      </c>
      <c r="D7" s="8">
        <f>C7*225</f>
        <v>3544275</v>
      </c>
      <c r="E7" s="8">
        <f>12%*D7</f>
        <v>425313</v>
      </c>
      <c r="F7" s="8">
        <f>5%*D7</f>
        <v>177213.75</v>
      </c>
      <c r="G7" s="10">
        <f>2%*D7</f>
        <v>70885.5</v>
      </c>
      <c r="H7" s="10">
        <f>1.5%*D7</f>
        <v>53164.125</v>
      </c>
      <c r="I7" s="11">
        <f>D7-E7-F7-G7-H7</f>
        <v>2817698.625</v>
      </c>
      <c r="J7" s="13">
        <f>1.05*I7</f>
        <v>2958583.5562499999</v>
      </c>
      <c r="K7" s="13">
        <f>I7</f>
        <v>2817698.625</v>
      </c>
      <c r="L7" s="13">
        <f>0.97*I7</f>
        <v>2733167.6662499998</v>
      </c>
    </row>
    <row r="8" spans="1:14" s="1" customFormat="1" x14ac:dyDescent="0.3">
      <c r="A8" s="27"/>
      <c r="B8" s="3" t="s">
        <v>7</v>
      </c>
      <c r="C8" s="3">
        <f>32412/3</f>
        <v>10804</v>
      </c>
      <c r="D8" s="8">
        <f>C8*225</f>
        <v>2430900</v>
      </c>
      <c r="E8" s="8">
        <f>12%*D8</f>
        <v>291708</v>
      </c>
      <c r="F8" s="8">
        <f>5%*D8</f>
        <v>121545</v>
      </c>
      <c r="G8" s="10">
        <f>2%*D8</f>
        <v>48618</v>
      </c>
      <c r="H8" s="10">
        <f>1.5%*D8</f>
        <v>36463.5</v>
      </c>
      <c r="I8" s="11">
        <f>D8-E8-F8-G8-H8</f>
        <v>1932565.5</v>
      </c>
      <c r="J8" s="13">
        <f>1.05*I8</f>
        <v>2029193.7750000001</v>
      </c>
      <c r="K8" s="13">
        <f>I8</f>
        <v>1932565.5</v>
      </c>
      <c r="L8" s="13">
        <f>0.97*I8</f>
        <v>1874588.5349999999</v>
      </c>
      <c r="M8" s="6"/>
    </row>
    <row r="9" spans="1:14" x14ac:dyDescent="0.3">
      <c r="A9" s="27"/>
      <c r="B9" s="3" t="s">
        <v>8</v>
      </c>
      <c r="C9" s="20">
        <f>28582/3</f>
        <v>9527.3333333333339</v>
      </c>
      <c r="D9" s="8">
        <f>C9*225</f>
        <v>2143650</v>
      </c>
      <c r="E9" s="8">
        <f>12%*D9</f>
        <v>257238</v>
      </c>
      <c r="F9" s="8">
        <f>5%*D9</f>
        <v>107182.5</v>
      </c>
      <c r="G9" s="10">
        <f>2%*D9</f>
        <v>42873</v>
      </c>
      <c r="H9" s="10">
        <f>1.5%*D9</f>
        <v>32154.75</v>
      </c>
      <c r="I9" s="11">
        <f>D9-E9-F9-G9-H9</f>
        <v>1704201.75</v>
      </c>
      <c r="J9" s="13">
        <f>1.05*I9</f>
        <v>1789411.8375000001</v>
      </c>
      <c r="K9" s="13">
        <f>I9</f>
        <v>1704201.75</v>
      </c>
      <c r="L9" s="13">
        <f>0.97*I9</f>
        <v>1653075.6975</v>
      </c>
    </row>
    <row r="10" spans="1:14" x14ac:dyDescent="0.3">
      <c r="A10" s="27"/>
      <c r="B10" s="14" t="s">
        <v>13</v>
      </c>
      <c r="C10" s="21">
        <f>SUM(C7:C9)</f>
        <v>36083.666666666672</v>
      </c>
      <c r="D10" s="15">
        <f t="shared" ref="D10:L10" si="1">SUM(D7:D9)</f>
        <v>8118825</v>
      </c>
      <c r="E10" s="15">
        <f t="shared" si="1"/>
        <v>974259</v>
      </c>
      <c r="F10" s="15">
        <f t="shared" si="1"/>
        <v>405941.25</v>
      </c>
      <c r="G10" s="15">
        <f t="shared" si="1"/>
        <v>162376.5</v>
      </c>
      <c r="H10" s="15">
        <f t="shared" si="1"/>
        <v>121782.375</v>
      </c>
      <c r="I10" s="15">
        <f t="shared" si="1"/>
        <v>6454465.875</v>
      </c>
      <c r="J10" s="16">
        <f t="shared" si="1"/>
        <v>6777189.1687500002</v>
      </c>
      <c r="K10" s="16">
        <f t="shared" si="1"/>
        <v>6454465.875</v>
      </c>
      <c r="L10" s="16">
        <f t="shared" si="1"/>
        <v>6260831.8987499997</v>
      </c>
      <c r="N10" s="9"/>
    </row>
    <row r="11" spans="1:14" x14ac:dyDescent="0.3">
      <c r="A11" s="27" t="s">
        <v>3</v>
      </c>
      <c r="B11" s="3" t="s">
        <v>6</v>
      </c>
      <c r="C11" s="3">
        <f>43284/3</f>
        <v>14428</v>
      </c>
      <c r="D11" s="8">
        <f>C11*3200</f>
        <v>46169600</v>
      </c>
      <c r="E11" s="8">
        <f>12%*D11</f>
        <v>5540352</v>
      </c>
      <c r="F11" s="8">
        <f>5%*D11</f>
        <v>2308480</v>
      </c>
      <c r="G11" s="10">
        <f>2%*D11</f>
        <v>923392</v>
      </c>
      <c r="H11" s="10">
        <f>1.5%*D11</f>
        <v>692544</v>
      </c>
      <c r="I11" s="11">
        <f>D11-E11-F11-G11-H11</f>
        <v>36704832</v>
      </c>
      <c r="J11" s="13">
        <f>1.05*I11</f>
        <v>38540073.600000001</v>
      </c>
      <c r="K11" s="13">
        <f>I11</f>
        <v>36704832</v>
      </c>
      <c r="L11" s="13">
        <f>0.97*I11</f>
        <v>35603687.039999999</v>
      </c>
    </row>
    <row r="12" spans="1:14" x14ac:dyDescent="0.3">
      <c r="A12" s="27"/>
      <c r="B12" s="3" t="s">
        <v>7</v>
      </c>
      <c r="C12" s="3">
        <f>33957/3</f>
        <v>11319</v>
      </c>
      <c r="D12" s="8">
        <f>C12*3200</f>
        <v>36220800</v>
      </c>
      <c r="E12" s="8">
        <f>12%*D12</f>
        <v>4346496</v>
      </c>
      <c r="F12" s="8">
        <f>5%*D12</f>
        <v>1811040</v>
      </c>
      <c r="G12" s="10">
        <f>2%*D12</f>
        <v>724416</v>
      </c>
      <c r="H12" s="10">
        <f>1.5%*D12</f>
        <v>543312</v>
      </c>
      <c r="I12" s="11">
        <f>D12-E12-F12-G12-H12</f>
        <v>28795536</v>
      </c>
      <c r="J12" s="13">
        <f>1.05*I12</f>
        <v>30235312.800000001</v>
      </c>
      <c r="K12" s="13">
        <f>I12</f>
        <v>28795536</v>
      </c>
      <c r="L12" s="13">
        <f>0.97*I12</f>
        <v>27931669.919999998</v>
      </c>
    </row>
    <row r="13" spans="1:14" x14ac:dyDescent="0.3">
      <c r="A13" s="27"/>
      <c r="B13" s="3" t="s">
        <v>8</v>
      </c>
      <c r="C13" s="20">
        <f>32299/3</f>
        <v>10766.333333333334</v>
      </c>
      <c r="D13" s="8">
        <f>C13*3200</f>
        <v>34452266.666666672</v>
      </c>
      <c r="E13" s="8">
        <f>12%*D13</f>
        <v>4134272.0000000005</v>
      </c>
      <c r="F13" s="8">
        <f>5%*D13</f>
        <v>1722613.3333333337</v>
      </c>
      <c r="G13" s="10">
        <f>2%*D13</f>
        <v>689045.33333333349</v>
      </c>
      <c r="H13" s="10">
        <f>1.5%*D13</f>
        <v>516784.00000000006</v>
      </c>
      <c r="I13" s="11">
        <f>D13-E13-F13-G13-H13</f>
        <v>27389552.000000007</v>
      </c>
      <c r="J13" s="13">
        <f>1.05*I13</f>
        <v>28759029.600000009</v>
      </c>
      <c r="K13" s="13">
        <f>I13</f>
        <v>27389552.000000007</v>
      </c>
      <c r="L13" s="13">
        <f>0.97*I13</f>
        <v>26567865.440000005</v>
      </c>
    </row>
    <row r="14" spans="1:14" x14ac:dyDescent="0.3">
      <c r="A14" s="27"/>
      <c r="B14" s="14" t="s">
        <v>13</v>
      </c>
      <c r="C14" s="21">
        <f>SUM(C11:C13)</f>
        <v>36513.333333333336</v>
      </c>
      <c r="D14" s="15">
        <f t="shared" ref="D14:L14" si="2">SUM(D11:D13)</f>
        <v>116842666.66666667</v>
      </c>
      <c r="E14" s="15">
        <f t="shared" si="2"/>
        <v>14021120</v>
      </c>
      <c r="F14" s="15">
        <f t="shared" si="2"/>
        <v>5842133.333333334</v>
      </c>
      <c r="G14" s="15">
        <f t="shared" si="2"/>
        <v>2336853.3333333335</v>
      </c>
      <c r="H14" s="15">
        <f t="shared" si="2"/>
        <v>1752640</v>
      </c>
      <c r="I14" s="15">
        <f t="shared" si="2"/>
        <v>92889920</v>
      </c>
      <c r="J14" s="16">
        <f t="shared" si="2"/>
        <v>97534416.000000015</v>
      </c>
      <c r="K14" s="16">
        <f t="shared" si="2"/>
        <v>92889920</v>
      </c>
      <c r="L14" s="16">
        <f t="shared" si="2"/>
        <v>90103222.400000006</v>
      </c>
    </row>
    <row r="15" spans="1:14" x14ac:dyDescent="0.3">
      <c r="A15" s="27" t="s">
        <v>4</v>
      </c>
      <c r="B15" s="3" t="s">
        <v>6</v>
      </c>
      <c r="C15" s="20">
        <f>53368/3</f>
        <v>17789.333333333332</v>
      </c>
      <c r="D15" s="8">
        <f>C15*1073</f>
        <v>19087954.666666664</v>
      </c>
      <c r="E15" s="8">
        <f>12%*D15</f>
        <v>2290554.5599999996</v>
      </c>
      <c r="F15" s="8">
        <f>5%*D15</f>
        <v>954397.73333333328</v>
      </c>
      <c r="G15" s="10">
        <f>2%*D15</f>
        <v>381759.09333333327</v>
      </c>
      <c r="H15" s="10">
        <f>1.5%*D15</f>
        <v>286319.31999999995</v>
      </c>
      <c r="I15" s="11">
        <f>D15-E15-F15-G15-H15</f>
        <v>15174923.959999999</v>
      </c>
      <c r="J15" s="13">
        <f>1.05*I15</f>
        <v>15933670.158</v>
      </c>
      <c r="K15" s="13">
        <f>I15</f>
        <v>15174923.959999999</v>
      </c>
      <c r="L15" s="13">
        <f>0.97*I15</f>
        <v>14719676.241199998</v>
      </c>
    </row>
    <row r="16" spans="1:14" x14ac:dyDescent="0.3">
      <c r="A16" s="27"/>
      <c r="B16" s="3" t="s">
        <v>7</v>
      </c>
      <c r="C16" s="3">
        <f>42087/3</f>
        <v>14029</v>
      </c>
      <c r="D16" s="8">
        <f>C16*1073</f>
        <v>15053117</v>
      </c>
      <c r="E16" s="8">
        <f>12%*D16</f>
        <v>1806374.04</v>
      </c>
      <c r="F16" s="8">
        <f>5%*D16</f>
        <v>752655.85000000009</v>
      </c>
      <c r="G16" s="10">
        <f>2%*D16</f>
        <v>301062.34000000003</v>
      </c>
      <c r="H16" s="10">
        <f>1.5%*D16</f>
        <v>225796.755</v>
      </c>
      <c r="I16" s="11">
        <f>D16-E16-F16-G16-H16</f>
        <v>11967228.015000001</v>
      </c>
      <c r="J16" s="13">
        <f>1.05*I16</f>
        <v>12565589.415750001</v>
      </c>
      <c r="K16" s="13">
        <f>I16</f>
        <v>11967228.015000001</v>
      </c>
      <c r="L16" s="13">
        <f>0.97*I16</f>
        <v>11608211.174550001</v>
      </c>
    </row>
    <row r="17" spans="1:12" x14ac:dyDescent="0.3">
      <c r="A17" s="27"/>
      <c r="B17" s="3" t="s">
        <v>8</v>
      </c>
      <c r="C17" s="20">
        <f>33287/3</f>
        <v>11095.666666666666</v>
      </c>
      <c r="D17" s="8">
        <f>C17*1073</f>
        <v>11905650.333333332</v>
      </c>
      <c r="E17" s="8">
        <f>12%*D17</f>
        <v>1428678.0399999998</v>
      </c>
      <c r="F17" s="8">
        <f>5%*D17</f>
        <v>595282.5166666666</v>
      </c>
      <c r="G17" s="10">
        <f>2%*D17</f>
        <v>238113.00666666665</v>
      </c>
      <c r="H17" s="10">
        <f>1.5%*D17</f>
        <v>178584.75499999998</v>
      </c>
      <c r="I17" s="11">
        <f>D17-E17-F17-G17-H17</f>
        <v>9464992.0150000006</v>
      </c>
      <c r="J17" s="13">
        <f>1.05*I17</f>
        <v>9938241.6157500017</v>
      </c>
      <c r="K17" s="13">
        <f>I17</f>
        <v>9464992.0150000006</v>
      </c>
      <c r="L17" s="13">
        <f>0.97*I17</f>
        <v>9181042.2545500007</v>
      </c>
    </row>
    <row r="18" spans="1:12" x14ac:dyDescent="0.3">
      <c r="A18" s="27"/>
      <c r="B18" s="14" t="s">
        <v>13</v>
      </c>
      <c r="C18" s="14">
        <f>SUM(C15:C17)</f>
        <v>42914</v>
      </c>
      <c r="D18" s="15">
        <f t="shared" ref="D18:L18" si="3">SUM(D15:D17)</f>
        <v>46046722</v>
      </c>
      <c r="E18" s="15">
        <f t="shared" si="3"/>
        <v>5525606.6399999997</v>
      </c>
      <c r="F18" s="15">
        <f t="shared" si="3"/>
        <v>2302336.1</v>
      </c>
      <c r="G18" s="15">
        <f t="shared" si="3"/>
        <v>920934.44</v>
      </c>
      <c r="H18" s="15">
        <f t="shared" si="3"/>
        <v>690700.83</v>
      </c>
      <c r="I18" s="15">
        <f t="shared" si="3"/>
        <v>36607143.990000002</v>
      </c>
      <c r="J18" s="16">
        <f t="shared" si="3"/>
        <v>38437501.189500004</v>
      </c>
      <c r="K18" s="16">
        <f t="shared" si="3"/>
        <v>36607143.990000002</v>
      </c>
      <c r="L18" s="16">
        <f t="shared" si="3"/>
        <v>35508929.670299999</v>
      </c>
    </row>
    <row r="19" spans="1:12" x14ac:dyDescent="0.3">
      <c r="A19" s="28" t="s">
        <v>5</v>
      </c>
      <c r="B19" s="3" t="s">
        <v>6</v>
      </c>
      <c r="C19" s="3">
        <f>60963/3</f>
        <v>20321</v>
      </c>
      <c r="D19" s="8">
        <f>C19*1073</f>
        <v>21804433</v>
      </c>
      <c r="E19" s="8">
        <f>12%*D19</f>
        <v>2616531.96</v>
      </c>
      <c r="F19" s="8">
        <f>5%*D19</f>
        <v>1090221.6500000001</v>
      </c>
      <c r="G19" s="10">
        <f>2%*D19</f>
        <v>436088.66000000003</v>
      </c>
      <c r="H19" s="10">
        <f>1.5%*D19</f>
        <v>327066.495</v>
      </c>
      <c r="I19" s="11">
        <f>D19-E19-F19-G19-H19</f>
        <v>17334524.234999999</v>
      </c>
      <c r="J19" s="13">
        <f>1.05*I19</f>
        <v>18201250.44675</v>
      </c>
      <c r="K19" s="13">
        <f>I19</f>
        <v>17334524.234999999</v>
      </c>
      <c r="L19" s="13">
        <f>0.97*I19</f>
        <v>16814488.50795</v>
      </c>
    </row>
    <row r="20" spans="1:12" x14ac:dyDescent="0.3">
      <c r="A20" s="28"/>
      <c r="B20" s="3" t="s">
        <v>7</v>
      </c>
      <c r="C20" s="3">
        <f>24321/3</f>
        <v>8107</v>
      </c>
      <c r="D20" s="8">
        <f>C20*1073</f>
        <v>8698811</v>
      </c>
      <c r="E20" s="8">
        <f>12%*D20</f>
        <v>1043857.32</v>
      </c>
      <c r="F20" s="8">
        <f>5%*D20</f>
        <v>434940.55000000005</v>
      </c>
      <c r="G20" s="10">
        <f>2%*D20</f>
        <v>173976.22</v>
      </c>
      <c r="H20" s="10">
        <f>1.5%*D20</f>
        <v>130482.16499999999</v>
      </c>
      <c r="I20" s="11">
        <f>D20-E20-F20-G20-H20</f>
        <v>6915554.7450000001</v>
      </c>
      <c r="J20" s="13">
        <f>1.05*I20</f>
        <v>7261332.4822500004</v>
      </c>
      <c r="K20" s="13">
        <f>I20</f>
        <v>6915554.7450000001</v>
      </c>
      <c r="L20" s="13">
        <f>0.97*I20</f>
        <v>6708088.1026499998</v>
      </c>
    </row>
    <row r="21" spans="1:12" x14ac:dyDescent="0.3">
      <c r="A21" s="28"/>
      <c r="B21" s="3" t="s">
        <v>8</v>
      </c>
      <c r="C21" s="20">
        <f>37543/3</f>
        <v>12514.333333333334</v>
      </c>
      <c r="D21" s="8">
        <f>C21*1073</f>
        <v>13427879.666666668</v>
      </c>
      <c r="E21" s="8">
        <f>12%*D21</f>
        <v>1611345.56</v>
      </c>
      <c r="F21" s="8">
        <f>5%*D21</f>
        <v>671393.9833333334</v>
      </c>
      <c r="G21" s="10">
        <f>2%*D21</f>
        <v>268557.59333333338</v>
      </c>
      <c r="H21" s="10">
        <f>1.5%*D21</f>
        <v>201418.19500000001</v>
      </c>
      <c r="I21" s="11">
        <f>D21-E21-F21-G21-H21</f>
        <v>10675164.335000001</v>
      </c>
      <c r="J21" s="13">
        <f>1.05*I21</f>
        <v>11208922.551750001</v>
      </c>
      <c r="K21" s="13">
        <f>I21</f>
        <v>10675164.335000001</v>
      </c>
      <c r="L21" s="13">
        <f>0.97*I21</f>
        <v>10354909.40495</v>
      </c>
    </row>
    <row r="22" spans="1:12" x14ac:dyDescent="0.3">
      <c r="A22" s="28"/>
      <c r="B22" s="14" t="s">
        <v>13</v>
      </c>
      <c r="C22" s="21">
        <f>SUM(C19:C21)</f>
        <v>40942.333333333336</v>
      </c>
      <c r="D22" s="15">
        <f t="shared" ref="D22:L22" si="4">SUM(D19:D21)</f>
        <v>43931123.666666672</v>
      </c>
      <c r="E22" s="15">
        <f t="shared" si="4"/>
        <v>5271734.84</v>
      </c>
      <c r="F22" s="15">
        <f t="shared" si="4"/>
        <v>2196556.1833333336</v>
      </c>
      <c r="G22" s="15">
        <f t="shared" si="4"/>
        <v>878622.47333333339</v>
      </c>
      <c r="H22" s="15">
        <f t="shared" si="4"/>
        <v>658966.85499999998</v>
      </c>
      <c r="I22" s="15">
        <f t="shared" si="4"/>
        <v>34925243.314999998</v>
      </c>
      <c r="J22" s="16">
        <f t="shared" si="4"/>
        <v>36671505.480750002</v>
      </c>
      <c r="K22" s="16">
        <f t="shared" si="4"/>
        <v>34925243.314999998</v>
      </c>
      <c r="L22" s="16">
        <f t="shared" si="4"/>
        <v>33877486.015550002</v>
      </c>
    </row>
    <row r="23" spans="1:12" x14ac:dyDescent="0.3">
      <c r="D23" s="2"/>
    </row>
    <row r="24" spans="1:12" x14ac:dyDescent="0.3">
      <c r="D24" s="29"/>
      <c r="E24" s="29"/>
      <c r="F24" s="29"/>
      <c r="G24" s="29"/>
      <c r="H24" s="29"/>
      <c r="I24" s="29"/>
    </row>
  </sheetData>
  <mergeCells count="2">
    <mergeCell ref="D24:I24"/>
    <mergeCell ref="A19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Guhan Neelakandan</cp:lastModifiedBy>
  <cp:revision/>
  <dcterms:created xsi:type="dcterms:W3CDTF">2015-06-05T18:17:20Z</dcterms:created>
  <dcterms:modified xsi:type="dcterms:W3CDTF">2025-07-09T13:14:46Z</dcterms:modified>
  <cp:category/>
  <cp:contentStatus/>
</cp:coreProperties>
</file>