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rthik\Files\Proposals\Fresenius\Report Output\"/>
    </mc:Choice>
  </mc:AlternateContent>
  <xr:revisionPtr revIDLastSave="0" documentId="13_ncr:1_{3D34AA2C-F5EC-4FE0-AD6C-A412CB464AF5}" xr6:coauthVersionLast="47" xr6:coauthVersionMax="47" xr10:uidLastSave="{00000000-0000-0000-0000-000000000000}"/>
  <bookViews>
    <workbookView xWindow="-110" yWindow="-110" windowWidth="19420" windowHeight="11500" xr2:uid="{795C4867-4EAC-4FAD-941D-4264F2285AF9}"/>
  </bookViews>
  <sheets>
    <sheet name="Report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5" i="1" l="1"/>
  <c r="L44" i="1"/>
  <c r="M44" i="1" s="1"/>
  <c r="O44" i="1" s="1"/>
  <c r="L43" i="1"/>
  <c r="M43" i="1" s="1"/>
  <c r="L42" i="1"/>
  <c r="M42" i="1" s="1"/>
  <c r="L41" i="1"/>
  <c r="M41" i="1" s="1"/>
  <c r="O41" i="1" s="1"/>
  <c r="L40" i="1"/>
  <c r="N40" i="1" s="1"/>
  <c r="L39" i="1"/>
  <c r="M39" i="1" s="1"/>
  <c r="O39" i="1" s="1"/>
  <c r="L38" i="1"/>
  <c r="M38" i="1" s="1"/>
  <c r="O38" i="1" s="1"/>
  <c r="L37" i="1"/>
  <c r="N37" i="1" s="1"/>
  <c r="L36" i="1"/>
  <c r="N36" i="1" s="1"/>
  <c r="L35" i="1"/>
  <c r="M35" i="1" s="1"/>
  <c r="O35" i="1" s="1"/>
  <c r="L34" i="1"/>
  <c r="N34" i="1" s="1"/>
  <c r="K45" i="1"/>
  <c r="K44" i="1"/>
  <c r="K43" i="1"/>
  <c r="K42" i="1"/>
  <c r="K41" i="1"/>
  <c r="K40" i="1"/>
  <c r="K39" i="1"/>
  <c r="K38" i="1"/>
  <c r="K37" i="1"/>
  <c r="K36" i="1"/>
  <c r="K35" i="1"/>
  <c r="K34" i="1"/>
  <c r="H45" i="1"/>
  <c r="H44" i="1"/>
  <c r="H43" i="1"/>
  <c r="H42" i="1"/>
  <c r="H41" i="1"/>
  <c r="H40" i="1"/>
  <c r="H39" i="1"/>
  <c r="H38" i="1"/>
  <c r="H37" i="1"/>
  <c r="H36" i="1"/>
  <c r="H35" i="1"/>
  <c r="H34" i="1"/>
  <c r="M45" i="1"/>
  <c r="O45" i="1" s="1"/>
  <c r="L33" i="1"/>
  <c r="M33" i="1" s="1"/>
  <c r="O33" i="1" s="1"/>
  <c r="L32" i="1"/>
  <c r="M32" i="1" s="1"/>
  <c r="O32" i="1" s="1"/>
  <c r="L31" i="1"/>
  <c r="N31" i="1" s="1"/>
  <c r="L30" i="1"/>
  <c r="N30" i="1" s="1"/>
  <c r="L29" i="1"/>
  <c r="M29" i="1" s="1"/>
  <c r="O29" i="1" s="1"/>
  <c r="L28" i="1"/>
  <c r="N28" i="1" s="1"/>
  <c r="L27" i="1"/>
  <c r="L51" i="1" s="1"/>
  <c r="M51" i="1" s="1"/>
  <c r="O51" i="1" s="1"/>
  <c r="L26" i="1"/>
  <c r="L50" i="1" s="1"/>
  <c r="M50" i="1" s="1"/>
  <c r="O50" i="1" s="1"/>
  <c r="L25" i="1"/>
  <c r="L49" i="1" s="1"/>
  <c r="M49" i="1" s="1"/>
  <c r="L24" i="1"/>
  <c r="L48" i="1" s="1"/>
  <c r="N48" i="1" s="1"/>
  <c r="L23" i="1"/>
  <c r="L47" i="1" s="1"/>
  <c r="M47" i="1" s="1"/>
  <c r="O47" i="1" s="1"/>
  <c r="L22" i="1"/>
  <c r="N22" i="1" s="1"/>
  <c r="K33" i="1"/>
  <c r="K57" i="1" s="1"/>
  <c r="K32" i="1"/>
  <c r="K56" i="1" s="1"/>
  <c r="K31" i="1"/>
  <c r="K55" i="1" s="1"/>
  <c r="K30" i="1"/>
  <c r="K54" i="1" s="1"/>
  <c r="K29" i="1"/>
  <c r="K53" i="1" s="1"/>
  <c r="K28" i="1"/>
  <c r="K52" i="1" s="1"/>
  <c r="K27" i="1"/>
  <c r="K51" i="1" s="1"/>
  <c r="K26" i="1"/>
  <c r="K50" i="1" s="1"/>
  <c r="K25" i="1"/>
  <c r="K49" i="1" s="1"/>
  <c r="K24" i="1"/>
  <c r="K48" i="1" s="1"/>
  <c r="K23" i="1"/>
  <c r="K47" i="1" s="1"/>
  <c r="K22" i="1"/>
  <c r="K46" i="1" s="1"/>
  <c r="H28" i="1"/>
  <c r="H52" i="1" s="1"/>
  <c r="H27" i="1"/>
  <c r="H51" i="1" s="1"/>
  <c r="H26" i="1"/>
  <c r="H50" i="1" s="1"/>
  <c r="H25" i="1"/>
  <c r="H33" i="1" s="1"/>
  <c r="H57" i="1" s="1"/>
  <c r="H24" i="1"/>
  <c r="H32" i="1" s="1"/>
  <c r="H56" i="1" s="1"/>
  <c r="H23" i="1"/>
  <c r="H31" i="1" s="1"/>
  <c r="H55" i="1" s="1"/>
  <c r="H22" i="1"/>
  <c r="H30" i="1" s="1"/>
  <c r="H54" i="1" s="1"/>
  <c r="M26" i="1"/>
  <c r="O26" i="1" s="1"/>
  <c r="N25" i="1"/>
  <c r="M25" i="1"/>
  <c r="O25" i="1" s="1"/>
  <c r="N24" i="1"/>
  <c r="M24" i="1"/>
  <c r="M23" i="1"/>
  <c r="O23" i="1" s="1"/>
  <c r="M12" i="1"/>
  <c r="M19" i="1"/>
  <c r="M21" i="1"/>
  <c r="O21" i="1" s="1"/>
  <c r="M20" i="1"/>
  <c r="O20" i="1" s="1"/>
  <c r="N19" i="1"/>
  <c r="N18" i="1"/>
  <c r="M18" i="1"/>
  <c r="O18" i="1" s="1"/>
  <c r="M17" i="1"/>
  <c r="O17" i="1" s="1"/>
  <c r="N16" i="1"/>
  <c r="M16" i="1"/>
  <c r="O16" i="1" s="1"/>
  <c r="N12" i="1"/>
  <c r="M15" i="1"/>
  <c r="O15" i="1" s="1"/>
  <c r="M13" i="1"/>
  <c r="M10" i="1"/>
  <c r="M14" i="1"/>
  <c r="O14" i="1" s="1"/>
  <c r="N13" i="1"/>
  <c r="H47" i="1" l="1"/>
  <c r="H46" i="1"/>
  <c r="H48" i="1"/>
  <c r="H49" i="1"/>
  <c r="N43" i="1"/>
  <c r="O43" i="1" s="1"/>
  <c r="M27" i="1"/>
  <c r="O27" i="1" s="1"/>
  <c r="L52" i="1"/>
  <c r="N52" i="1" s="1"/>
  <c r="N42" i="1"/>
  <c r="O42" i="1" s="1"/>
  <c r="L53" i="1"/>
  <c r="M53" i="1" s="1"/>
  <c r="O53" i="1" s="1"/>
  <c r="L46" i="1"/>
  <c r="M34" i="1"/>
  <c r="L54" i="1"/>
  <c r="M54" i="1" s="1"/>
  <c r="L55" i="1"/>
  <c r="N55" i="1" s="1"/>
  <c r="L56" i="1"/>
  <c r="M56" i="1" s="1"/>
  <c r="O56" i="1" s="1"/>
  <c r="L57" i="1"/>
  <c r="M57" i="1" s="1"/>
  <c r="O57" i="1" s="1"/>
  <c r="M36" i="1"/>
  <c r="O36" i="1" s="1"/>
  <c r="M37" i="1"/>
  <c r="O37" i="1" s="1"/>
  <c r="M40" i="1"/>
  <c r="O40" i="1" s="1"/>
  <c r="N46" i="1"/>
  <c r="O34" i="1"/>
  <c r="M48" i="1"/>
  <c r="O48" i="1" s="1"/>
  <c r="M52" i="1"/>
  <c r="O52" i="1" s="1"/>
  <c r="N49" i="1"/>
  <c r="O49" i="1" s="1"/>
  <c r="O19" i="1"/>
  <c r="H29" i="1"/>
  <c r="H53" i="1" s="1"/>
  <c r="O24" i="1"/>
  <c r="M28" i="1"/>
  <c r="O28" i="1" s="1"/>
  <c r="M30" i="1"/>
  <c r="O30" i="1" s="1"/>
  <c r="M31" i="1"/>
  <c r="O31" i="1" s="1"/>
  <c r="M22" i="1"/>
  <c r="O22" i="1" s="1"/>
  <c r="O12" i="1"/>
  <c r="O13" i="1"/>
  <c r="M11" i="1"/>
  <c r="O11" i="1" s="1"/>
  <c r="N10" i="1"/>
  <c r="O10" i="1" s="1"/>
  <c r="M55" i="1" l="1"/>
  <c r="O55" i="1" s="1"/>
  <c r="N54" i="1"/>
  <c r="O54" i="1" s="1"/>
  <c r="M46" i="1"/>
  <c r="O46" i="1" s="1"/>
  <c r="O58" i="1" s="1"/>
</calcChain>
</file>

<file path=xl/sharedStrings.xml><?xml version="1.0" encoding="utf-8"?>
<sst xmlns="http://schemas.openxmlformats.org/spreadsheetml/2006/main" count="366" uniqueCount="56">
  <si>
    <t>Chargeback Discrepancy Report</t>
  </si>
  <si>
    <t>Contract Name</t>
  </si>
  <si>
    <t>Period</t>
  </si>
  <si>
    <t>AmerisourceBergen</t>
  </si>
  <si>
    <t>Run by: Admin</t>
  </si>
  <si>
    <t>Wholesaler</t>
  </si>
  <si>
    <t>Contract</t>
  </si>
  <si>
    <t>Page 1 of 1</t>
  </si>
  <si>
    <t>Confidential Information of Fresenius Kabi.  Do not copy or distribute.</t>
  </si>
  <si>
    <t>Contract ID</t>
  </si>
  <si>
    <t>Product ID</t>
  </si>
  <si>
    <t>Product Name</t>
  </si>
  <si>
    <t xml:space="preserve">Debit Memo </t>
  </si>
  <si>
    <t>Invoice Number</t>
  </si>
  <si>
    <t>Invoice Date</t>
  </si>
  <si>
    <t>Received Date</t>
  </si>
  <si>
    <t>Line Number</t>
  </si>
  <si>
    <t>Quantity</t>
  </si>
  <si>
    <t>Requested Chargeback Amount</t>
  </si>
  <si>
    <t>Approved Chargeback Amount</t>
  </si>
  <si>
    <t>Discrepancy Amount</t>
  </si>
  <si>
    <t>Reason For Dispute</t>
  </si>
  <si>
    <t>00143689</t>
  </si>
  <si>
    <t>Vizient Nephrology</t>
  </si>
  <si>
    <t>06732233244</t>
  </si>
  <si>
    <t>Aminomix 1 Novum</t>
  </si>
  <si>
    <t>AA012389</t>
  </si>
  <si>
    <t>AmerisourceBergen, McKesson</t>
  </si>
  <si>
    <t>06732736543</t>
  </si>
  <si>
    <t>Aminosteril N-Hepa 8%</t>
  </si>
  <si>
    <t>06732982361</t>
  </si>
  <si>
    <t>Omegaven</t>
  </si>
  <si>
    <t>Customer Not Eligible</t>
  </si>
  <si>
    <t>Contract Amount Corrected</t>
  </si>
  <si>
    <t>K0633335</t>
  </si>
  <si>
    <t>McKesson</t>
  </si>
  <si>
    <t>MC012389</t>
  </si>
  <si>
    <t>MO633335</t>
  </si>
  <si>
    <t>L9564383</t>
  </si>
  <si>
    <t>VZ03843K</t>
  </si>
  <si>
    <t>D984733M</t>
  </si>
  <si>
    <t>OK94MDJD</t>
  </si>
  <si>
    <t>06/01/2025 - 06/15/2025</t>
  </si>
  <si>
    <t>L98364K1</t>
  </si>
  <si>
    <t>M233LK35</t>
  </si>
  <si>
    <t>PM0164K1</t>
  </si>
  <si>
    <t>OJ384335</t>
  </si>
  <si>
    <t>K5564327</t>
  </si>
  <si>
    <t>FE03K453</t>
  </si>
  <si>
    <t>H984H643</t>
  </si>
  <si>
    <t>MM94M454</t>
  </si>
  <si>
    <t>Total Discrepancy Amount</t>
  </si>
  <si>
    <t>Period Type</t>
  </si>
  <si>
    <t>Date Range</t>
  </si>
  <si>
    <t>Powered by SRM Tech</t>
  </si>
  <si>
    <t>Run Date: Jul 11,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</si>
</sst>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vertical="center"/>
    </xf>
    <xf numFmtId="6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1</xdr:row>
      <xdr:rowOff>0</xdr:rowOff>
    </xdr:from>
    <xdr:to>
      <xdr:col>1</xdr:col>
      <xdr:colOff>1140254</xdr:colOff>
      <xdr:row>2</xdr:row>
      <xdr:rowOff>38100</xdr:rowOff>
    </xdr:to>
    <xdr:pic>
      <xdr:nvPicPr>
        <xdr:cNvPr id="2" name="Picture 1" descr="Fresenius Kabi">
          <a:extLst>
            <a:ext uri="{FF2B5EF4-FFF2-40B4-BE49-F238E27FC236}">
              <a16:creationId xmlns:a16="http://schemas.microsoft.com/office/drawing/2014/main" id="{B48E349D-64B3-4738-B1E1-E56DF28BDC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911" b="31646"/>
        <a:stretch/>
      </xdr:blipFill>
      <xdr:spPr bwMode="auto">
        <a:xfrm>
          <a:off x="711200" y="184150"/>
          <a:ext cx="1070404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1371600</xdr:colOff>
      <xdr:row>59</xdr:row>
      <xdr:rowOff>101600</xdr:rowOff>
    </xdr:from>
    <xdr:to>
      <xdr:col>5</xdr:col>
      <xdr:colOff>349250</xdr:colOff>
      <xdr:row>61</xdr:row>
      <xdr:rowOff>81568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50BDB6-D9AE-4D94-94D9-E8045E4A5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6200" y="11010900"/>
          <a:ext cx="444500" cy="348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412C-58BC-4D1E-B49F-234F89B4B835}">
  <dimension ref="B2:P67"/>
  <sheetViews>
    <sheetView tabSelected="1" workbookViewId="0">
      <selection activeCell="B4" sqref="B4"/>
    </sheetView>
  </sheetViews>
  <sheetFormatPr defaultColWidth="9.1796875" defaultRowHeight="14.5" x14ac:dyDescent="0.35"/>
  <cols>
    <col min="1" max="1" width="3.81640625" style="1" customWidth="1"/>
    <col min="2" max="2" width="16.7265625" style="1" customWidth="1"/>
    <col min="3" max="3" width="20.90625" style="1" customWidth="1"/>
    <col min="4" max="4" width="12.7265625" style="1" customWidth="1"/>
    <col min="5" max="5" width="21" style="2" customWidth="1"/>
    <col min="6" max="6" width="19.453125" style="1" customWidth="1"/>
    <col min="7" max="7" width="15" style="1" customWidth="1"/>
    <col min="8" max="8" width="19.90625" style="1" customWidth="1"/>
    <col min="9" max="9" width="12.81640625" style="1" customWidth="1"/>
    <col min="10" max="10" width="13.08984375" style="1" customWidth="1"/>
    <col min="11" max="11" width="12.90625" style="1" customWidth="1"/>
    <col min="12" max="12" width="13.08984375" style="1" customWidth="1"/>
    <col min="13" max="13" width="28.90625" style="1" customWidth="1"/>
    <col min="14" max="14" width="28" style="1" customWidth="1"/>
    <col min="15" max="15" width="23.08984375" style="1" customWidth="1"/>
    <col min="16" max="16" width="24.81640625" style="1" customWidth="1"/>
    <col min="17" max="16384" width="9.1796875" style="1"/>
  </cols>
  <sheetData>
    <row r="2" spans="2:16" ht="18" customHeight="1" x14ac:dyDescent="0.35">
      <c r="C2" s="17" t="s">
        <v>0</v>
      </c>
      <c r="D2" s="17"/>
      <c r="E2" s="17"/>
      <c r="F2" s="17"/>
      <c r="G2" s="17"/>
      <c r="H2" s="17"/>
    </row>
    <row r="4" spans="2:16" x14ac:dyDescent="0.35">
      <c r="B4" s="1" t="s">
        <v>6</v>
      </c>
      <c r="C4" t="s">
        <v>23</v>
      </c>
      <c r="H4" s="11" t="s">
        <v>4</v>
      </c>
    </row>
    <row r="5" spans="2:16" x14ac:dyDescent="0.35">
      <c r="B5" s="1" t="s">
        <v>5</v>
      </c>
      <c r="C5" s="1" t="s">
        <v>27</v>
      </c>
      <c r="H5" s="10" t="s">
        <v>55</v>
      </c>
    </row>
    <row r="6" spans="2:16" x14ac:dyDescent="0.35">
      <c r="B6" s="1" t="s">
        <v>52</v>
      </c>
      <c r="C6" s="1" t="s">
        <v>53</v>
      </c>
      <c r="H6" s="10"/>
    </row>
    <row r="7" spans="2:16" x14ac:dyDescent="0.35">
      <c r="B7" s="1" t="s">
        <v>2</v>
      </c>
      <c r="C7" s="1" t="s">
        <v>42</v>
      </c>
    </row>
    <row r="9" spans="2:16" x14ac:dyDescent="0.35">
      <c r="B9" s="8" t="s">
        <v>9</v>
      </c>
      <c r="C9" s="8" t="s">
        <v>1</v>
      </c>
      <c r="D9" s="8" t="s">
        <v>10</v>
      </c>
      <c r="E9" s="8" t="s">
        <v>11</v>
      </c>
      <c r="F9" s="8" t="s">
        <v>5</v>
      </c>
      <c r="G9" s="8" t="s">
        <v>12</v>
      </c>
      <c r="H9" s="8" t="s">
        <v>13</v>
      </c>
      <c r="I9" s="8" t="s">
        <v>14</v>
      </c>
      <c r="J9" s="8" t="s">
        <v>15</v>
      </c>
      <c r="K9" s="8" t="s">
        <v>16</v>
      </c>
      <c r="L9" s="8" t="s">
        <v>17</v>
      </c>
      <c r="M9" s="8" t="s">
        <v>18</v>
      </c>
      <c r="N9" s="8" t="s">
        <v>19</v>
      </c>
      <c r="O9" s="8" t="s">
        <v>20</v>
      </c>
      <c r="P9" s="8" t="s">
        <v>21</v>
      </c>
    </row>
    <row r="10" spans="2:16" x14ac:dyDescent="0.35">
      <c r="B10" s="3" t="s">
        <v>22</v>
      </c>
      <c r="C10" s="4" t="s">
        <v>23</v>
      </c>
      <c r="D10" s="5" t="s">
        <v>24</v>
      </c>
      <c r="E10" s="6" t="s">
        <v>25</v>
      </c>
      <c r="F10" s="12" t="s">
        <v>3</v>
      </c>
      <c r="G10" s="6" t="s">
        <v>26</v>
      </c>
      <c r="H10" s="6">
        <v>7352323</v>
      </c>
      <c r="I10" s="9">
        <v>45821</v>
      </c>
      <c r="J10" s="9">
        <v>45822</v>
      </c>
      <c r="K10" s="6">
        <v>23204654</v>
      </c>
      <c r="L10" s="6">
        <v>45</v>
      </c>
      <c r="M10" s="7">
        <f>(L10*1073)*0.15</f>
        <v>7242.75</v>
      </c>
      <c r="N10" s="7">
        <f>(L10*1073)*0.12</f>
        <v>5794.2</v>
      </c>
      <c r="O10" s="7">
        <f t="shared" ref="O10:O57" si="0">M10-N10</f>
        <v>1448.5500000000002</v>
      </c>
      <c r="P10" s="6" t="s">
        <v>33</v>
      </c>
    </row>
    <row r="11" spans="2:16" x14ac:dyDescent="0.35">
      <c r="B11" s="3" t="s">
        <v>22</v>
      </c>
      <c r="C11" s="4" t="s">
        <v>23</v>
      </c>
      <c r="D11" s="5" t="s">
        <v>28</v>
      </c>
      <c r="E11" s="6" t="s">
        <v>29</v>
      </c>
      <c r="F11" s="12" t="s">
        <v>3</v>
      </c>
      <c r="G11" s="6" t="s">
        <v>26</v>
      </c>
      <c r="H11" s="6">
        <v>7352324</v>
      </c>
      <c r="I11" s="9">
        <v>45821</v>
      </c>
      <c r="J11" s="9">
        <v>45822</v>
      </c>
      <c r="K11" s="6">
        <v>23204655</v>
      </c>
      <c r="L11" s="6">
        <v>39</v>
      </c>
      <c r="M11" s="7">
        <f>(L11*225)*0.13</f>
        <v>1140.75</v>
      </c>
      <c r="N11" s="7">
        <v>0</v>
      </c>
      <c r="O11" s="7">
        <f t="shared" si="0"/>
        <v>1140.75</v>
      </c>
      <c r="P11" s="6" t="s">
        <v>32</v>
      </c>
    </row>
    <row r="12" spans="2:16" x14ac:dyDescent="0.35">
      <c r="B12" s="3" t="s">
        <v>22</v>
      </c>
      <c r="C12" s="4" t="s">
        <v>23</v>
      </c>
      <c r="D12" s="5" t="s">
        <v>30</v>
      </c>
      <c r="E12" s="6" t="s">
        <v>31</v>
      </c>
      <c r="F12" s="12" t="s">
        <v>3</v>
      </c>
      <c r="G12" s="6" t="s">
        <v>26</v>
      </c>
      <c r="H12" s="6">
        <v>7352325</v>
      </c>
      <c r="I12" s="9">
        <v>45821</v>
      </c>
      <c r="J12" s="9">
        <v>45822</v>
      </c>
      <c r="K12" s="6">
        <v>23204656</v>
      </c>
      <c r="L12" s="6">
        <v>28</v>
      </c>
      <c r="M12" s="7">
        <f>(L12*3200)*0.13</f>
        <v>11648</v>
      </c>
      <c r="N12" s="7">
        <f>L12*3200*0.12</f>
        <v>10752</v>
      </c>
      <c r="O12" s="7">
        <f t="shared" si="0"/>
        <v>896</v>
      </c>
      <c r="P12" s="6" t="s">
        <v>33</v>
      </c>
    </row>
    <row r="13" spans="2:16" x14ac:dyDescent="0.35">
      <c r="B13" s="3" t="s">
        <v>22</v>
      </c>
      <c r="C13" s="4" t="s">
        <v>23</v>
      </c>
      <c r="D13" s="5" t="s">
        <v>24</v>
      </c>
      <c r="E13" s="6" t="s">
        <v>25</v>
      </c>
      <c r="F13" s="12" t="s">
        <v>3</v>
      </c>
      <c r="G13" s="5" t="s">
        <v>34</v>
      </c>
      <c r="H13" s="6">
        <v>6852674</v>
      </c>
      <c r="I13" s="9">
        <v>45813</v>
      </c>
      <c r="J13" s="9">
        <v>45814</v>
      </c>
      <c r="K13" s="6">
        <v>21244676</v>
      </c>
      <c r="L13" s="6">
        <v>109</v>
      </c>
      <c r="M13" s="7">
        <f>(L13*1073)*0.15</f>
        <v>17543.55</v>
      </c>
      <c r="N13" s="7">
        <f>(L13*1073)*0.12</f>
        <v>14034.84</v>
      </c>
      <c r="O13" s="7">
        <f t="shared" si="0"/>
        <v>3508.7099999999991</v>
      </c>
      <c r="P13" s="6" t="s">
        <v>33</v>
      </c>
    </row>
    <row r="14" spans="2:16" x14ac:dyDescent="0.35">
      <c r="B14" s="3" t="s">
        <v>22</v>
      </c>
      <c r="C14" s="4" t="s">
        <v>23</v>
      </c>
      <c r="D14" s="5" t="s">
        <v>28</v>
      </c>
      <c r="E14" s="6" t="s">
        <v>29</v>
      </c>
      <c r="F14" s="12" t="s">
        <v>3</v>
      </c>
      <c r="G14" s="5" t="s">
        <v>34</v>
      </c>
      <c r="H14" s="6">
        <v>6852675</v>
      </c>
      <c r="I14" s="9">
        <v>45813</v>
      </c>
      <c r="J14" s="9">
        <v>45814</v>
      </c>
      <c r="K14" s="6">
        <v>21244677</v>
      </c>
      <c r="L14" s="6">
        <v>11</v>
      </c>
      <c r="M14" s="7">
        <f>(L14*225)*0.13</f>
        <v>321.75</v>
      </c>
      <c r="N14" s="7">
        <v>0</v>
      </c>
      <c r="O14" s="7">
        <f t="shared" si="0"/>
        <v>321.75</v>
      </c>
      <c r="P14" s="6" t="s">
        <v>32</v>
      </c>
    </row>
    <row r="15" spans="2:16" x14ac:dyDescent="0.35">
      <c r="B15" s="3" t="s">
        <v>22</v>
      </c>
      <c r="C15" s="4" t="s">
        <v>23</v>
      </c>
      <c r="D15" s="5" t="s">
        <v>30</v>
      </c>
      <c r="E15" s="6" t="s">
        <v>31</v>
      </c>
      <c r="F15" s="12" t="s">
        <v>3</v>
      </c>
      <c r="G15" s="5" t="s">
        <v>34</v>
      </c>
      <c r="H15" s="6">
        <v>6852676</v>
      </c>
      <c r="I15" s="9">
        <v>45813</v>
      </c>
      <c r="J15" s="9">
        <v>45814</v>
      </c>
      <c r="K15" s="6">
        <v>21244678</v>
      </c>
      <c r="L15" s="6">
        <v>18</v>
      </c>
      <c r="M15" s="7">
        <f>(L15*3200)*0.12</f>
        <v>6912</v>
      </c>
      <c r="N15" s="7">
        <v>0</v>
      </c>
      <c r="O15" s="7">
        <f t="shared" si="0"/>
        <v>6912</v>
      </c>
      <c r="P15" s="6" t="s">
        <v>32</v>
      </c>
    </row>
    <row r="16" spans="2:16" x14ac:dyDescent="0.35">
      <c r="B16" s="3" t="s">
        <v>22</v>
      </c>
      <c r="C16" s="4" t="s">
        <v>23</v>
      </c>
      <c r="D16" s="5" t="s">
        <v>24</v>
      </c>
      <c r="E16" s="6" t="s">
        <v>25</v>
      </c>
      <c r="F16" s="12" t="s">
        <v>3</v>
      </c>
      <c r="G16" s="6" t="s">
        <v>36</v>
      </c>
      <c r="H16" s="6">
        <v>8352653</v>
      </c>
      <c r="I16" s="9">
        <v>45817</v>
      </c>
      <c r="J16" s="9">
        <v>45818</v>
      </c>
      <c r="K16" s="6">
        <v>32204666</v>
      </c>
      <c r="L16" s="6">
        <v>69</v>
      </c>
      <c r="M16" s="7">
        <f>(L16*1073)*0.15</f>
        <v>11105.55</v>
      </c>
      <c r="N16" s="7">
        <f>(L16*1073)*0.12</f>
        <v>8884.44</v>
      </c>
      <c r="O16" s="7">
        <f t="shared" si="0"/>
        <v>2221.1099999999988</v>
      </c>
      <c r="P16" s="6" t="s">
        <v>33</v>
      </c>
    </row>
    <row r="17" spans="2:16" x14ac:dyDescent="0.35">
      <c r="B17" s="3" t="s">
        <v>22</v>
      </c>
      <c r="C17" s="4" t="s">
        <v>23</v>
      </c>
      <c r="D17" s="5" t="s">
        <v>28</v>
      </c>
      <c r="E17" s="6" t="s">
        <v>29</v>
      </c>
      <c r="F17" s="12" t="s">
        <v>3</v>
      </c>
      <c r="G17" s="6" t="s">
        <v>36</v>
      </c>
      <c r="H17" s="6">
        <v>8352654</v>
      </c>
      <c r="I17" s="9">
        <v>45817</v>
      </c>
      <c r="J17" s="9">
        <v>45818</v>
      </c>
      <c r="K17" s="6">
        <v>32204667</v>
      </c>
      <c r="L17" s="6">
        <v>48</v>
      </c>
      <c r="M17" s="7">
        <f>(L17*225)*0.13</f>
        <v>1404</v>
      </c>
      <c r="N17" s="7">
        <v>0</v>
      </c>
      <c r="O17" s="7">
        <f t="shared" si="0"/>
        <v>1404</v>
      </c>
      <c r="P17" s="6" t="s">
        <v>32</v>
      </c>
    </row>
    <row r="18" spans="2:16" x14ac:dyDescent="0.35">
      <c r="B18" s="3" t="s">
        <v>22</v>
      </c>
      <c r="C18" s="4" t="s">
        <v>23</v>
      </c>
      <c r="D18" s="5" t="s">
        <v>30</v>
      </c>
      <c r="E18" s="6" t="s">
        <v>31</v>
      </c>
      <c r="F18" s="12" t="s">
        <v>3</v>
      </c>
      <c r="G18" s="6" t="s">
        <v>36</v>
      </c>
      <c r="H18" s="6">
        <v>8352655</v>
      </c>
      <c r="I18" s="9">
        <v>45817</v>
      </c>
      <c r="J18" s="9">
        <v>45818</v>
      </c>
      <c r="K18" s="6">
        <v>32204668</v>
      </c>
      <c r="L18" s="6">
        <v>83</v>
      </c>
      <c r="M18" s="7">
        <f>(L18*3200)*0.14</f>
        <v>37184</v>
      </c>
      <c r="N18" s="7">
        <f>L18*3200*0.12</f>
        <v>31872</v>
      </c>
      <c r="O18" s="7">
        <f t="shared" si="0"/>
        <v>5312</v>
      </c>
      <c r="P18" s="6" t="s">
        <v>33</v>
      </c>
    </row>
    <row r="19" spans="2:16" x14ac:dyDescent="0.35">
      <c r="B19" s="3" t="s">
        <v>22</v>
      </c>
      <c r="C19" s="4" t="s">
        <v>23</v>
      </c>
      <c r="D19" s="5" t="s">
        <v>24</v>
      </c>
      <c r="E19" s="6" t="s">
        <v>25</v>
      </c>
      <c r="F19" s="12" t="s">
        <v>3</v>
      </c>
      <c r="G19" s="5" t="s">
        <v>37</v>
      </c>
      <c r="H19" s="6">
        <v>8152633</v>
      </c>
      <c r="I19" s="9">
        <v>45809</v>
      </c>
      <c r="J19" s="9">
        <v>45810</v>
      </c>
      <c r="K19" s="6">
        <v>30244324</v>
      </c>
      <c r="L19" s="6">
        <v>76</v>
      </c>
      <c r="M19" s="7">
        <f>(L19*1070)*0.12</f>
        <v>9758.4</v>
      </c>
      <c r="N19" s="7">
        <f>(L19*1073)*0.12</f>
        <v>9785.76</v>
      </c>
      <c r="O19" s="15">
        <f t="shared" si="0"/>
        <v>-27.360000000000582</v>
      </c>
      <c r="P19" s="6" t="s">
        <v>33</v>
      </c>
    </row>
    <row r="20" spans="2:16" x14ac:dyDescent="0.35">
      <c r="B20" s="3" t="s">
        <v>22</v>
      </c>
      <c r="C20" s="4" t="s">
        <v>23</v>
      </c>
      <c r="D20" s="5" t="s">
        <v>28</v>
      </c>
      <c r="E20" s="6" t="s">
        <v>29</v>
      </c>
      <c r="F20" s="12" t="s">
        <v>3</v>
      </c>
      <c r="G20" s="5" t="s">
        <v>37</v>
      </c>
      <c r="H20" s="6">
        <v>8152638</v>
      </c>
      <c r="I20" s="9">
        <v>45809</v>
      </c>
      <c r="J20" s="9">
        <v>45810</v>
      </c>
      <c r="K20" s="6">
        <v>30244325</v>
      </c>
      <c r="L20" s="6">
        <v>71</v>
      </c>
      <c r="M20" s="7">
        <f>(L20*225)*0.13</f>
        <v>2076.75</v>
      </c>
      <c r="N20" s="7">
        <v>0</v>
      </c>
      <c r="O20" s="7">
        <f t="shared" si="0"/>
        <v>2076.75</v>
      </c>
      <c r="P20" s="6" t="s">
        <v>32</v>
      </c>
    </row>
    <row r="21" spans="2:16" x14ac:dyDescent="0.35">
      <c r="B21" s="3" t="s">
        <v>22</v>
      </c>
      <c r="C21" s="4" t="s">
        <v>23</v>
      </c>
      <c r="D21" s="5" t="s">
        <v>30</v>
      </c>
      <c r="E21" s="6" t="s">
        <v>31</v>
      </c>
      <c r="F21" s="12" t="s">
        <v>3</v>
      </c>
      <c r="G21" s="5" t="s">
        <v>37</v>
      </c>
      <c r="H21" s="6">
        <v>8152639</v>
      </c>
      <c r="I21" s="9">
        <v>45809</v>
      </c>
      <c r="J21" s="9">
        <v>45810</v>
      </c>
      <c r="K21" s="6">
        <v>30244326</v>
      </c>
      <c r="L21" s="6">
        <v>58</v>
      </c>
      <c r="M21" s="7">
        <f>(L21*3200)*0.12</f>
        <v>22272</v>
      </c>
      <c r="N21" s="7">
        <v>0</v>
      </c>
      <c r="O21" s="7">
        <f t="shared" si="0"/>
        <v>22272</v>
      </c>
      <c r="P21" s="6" t="s">
        <v>32</v>
      </c>
    </row>
    <row r="22" spans="2:16" x14ac:dyDescent="0.35">
      <c r="B22" s="3" t="s">
        <v>22</v>
      </c>
      <c r="C22" s="4" t="s">
        <v>23</v>
      </c>
      <c r="D22" s="5" t="s">
        <v>24</v>
      </c>
      <c r="E22" s="6" t="s">
        <v>25</v>
      </c>
      <c r="F22" s="12" t="s">
        <v>3</v>
      </c>
      <c r="G22" s="6" t="s">
        <v>38</v>
      </c>
      <c r="H22" s="6">
        <f t="shared" ref="H22:H28" si="1">H15+1234</f>
        <v>6853910</v>
      </c>
      <c r="I22" s="9">
        <v>45810</v>
      </c>
      <c r="J22" s="9">
        <v>45811</v>
      </c>
      <c r="K22" s="6">
        <f t="shared" ref="K22:K33" si="2">K10+98763</f>
        <v>23303417</v>
      </c>
      <c r="L22" s="6">
        <f>L10+11</f>
        <v>56</v>
      </c>
      <c r="M22" s="7">
        <f>(L22*1073)*0.15</f>
        <v>9013.1999999999989</v>
      </c>
      <c r="N22" s="7">
        <f>(L22*1073)*0.12</f>
        <v>7210.5599999999995</v>
      </c>
      <c r="O22" s="7">
        <f t="shared" si="0"/>
        <v>1802.6399999999994</v>
      </c>
      <c r="P22" s="6" t="s">
        <v>33</v>
      </c>
    </row>
    <row r="23" spans="2:16" x14ac:dyDescent="0.35">
      <c r="B23" s="3" t="s">
        <v>22</v>
      </c>
      <c r="C23" s="4" t="s">
        <v>23</v>
      </c>
      <c r="D23" s="5" t="s">
        <v>28</v>
      </c>
      <c r="E23" s="6" t="s">
        <v>29</v>
      </c>
      <c r="F23" s="12" t="s">
        <v>3</v>
      </c>
      <c r="G23" s="6" t="s">
        <v>38</v>
      </c>
      <c r="H23" s="6">
        <f t="shared" si="1"/>
        <v>8353887</v>
      </c>
      <c r="I23" s="9">
        <v>45810</v>
      </c>
      <c r="J23" s="9">
        <v>45811</v>
      </c>
      <c r="K23" s="6">
        <f t="shared" si="2"/>
        <v>23303418</v>
      </c>
      <c r="L23" s="6">
        <f t="shared" ref="L23:L33" si="3">L11+11</f>
        <v>50</v>
      </c>
      <c r="M23" s="7">
        <f>(L23*225)*0.13</f>
        <v>1462.5</v>
      </c>
      <c r="N23" s="7">
        <v>0</v>
      </c>
      <c r="O23" s="7">
        <f t="shared" si="0"/>
        <v>1462.5</v>
      </c>
      <c r="P23" s="6" t="s">
        <v>32</v>
      </c>
    </row>
    <row r="24" spans="2:16" x14ac:dyDescent="0.35">
      <c r="B24" s="3" t="s">
        <v>22</v>
      </c>
      <c r="C24" s="4" t="s">
        <v>23</v>
      </c>
      <c r="D24" s="5" t="s">
        <v>30</v>
      </c>
      <c r="E24" s="6" t="s">
        <v>31</v>
      </c>
      <c r="F24" s="12" t="s">
        <v>3</v>
      </c>
      <c r="G24" s="6" t="s">
        <v>38</v>
      </c>
      <c r="H24" s="6">
        <f t="shared" si="1"/>
        <v>8353888</v>
      </c>
      <c r="I24" s="9">
        <v>45810</v>
      </c>
      <c r="J24" s="9">
        <v>45811</v>
      </c>
      <c r="K24" s="6">
        <f t="shared" si="2"/>
        <v>23303419</v>
      </c>
      <c r="L24" s="6">
        <f t="shared" si="3"/>
        <v>39</v>
      </c>
      <c r="M24" s="7">
        <f>(L24*3200)*0.13</f>
        <v>16224</v>
      </c>
      <c r="N24" s="7">
        <f>L24*3200*0.12</f>
        <v>14976</v>
      </c>
      <c r="O24" s="7">
        <f t="shared" si="0"/>
        <v>1248</v>
      </c>
      <c r="P24" s="6" t="s">
        <v>33</v>
      </c>
    </row>
    <row r="25" spans="2:16" x14ac:dyDescent="0.35">
      <c r="B25" s="3" t="s">
        <v>22</v>
      </c>
      <c r="C25" s="4" t="s">
        <v>23</v>
      </c>
      <c r="D25" s="5" t="s">
        <v>24</v>
      </c>
      <c r="E25" s="6" t="s">
        <v>25</v>
      </c>
      <c r="F25" s="12" t="s">
        <v>3</v>
      </c>
      <c r="G25" s="5" t="s">
        <v>39</v>
      </c>
      <c r="H25" s="6">
        <f t="shared" si="1"/>
        <v>8353889</v>
      </c>
      <c r="I25" s="9">
        <v>45813</v>
      </c>
      <c r="J25" s="9">
        <v>45814</v>
      </c>
      <c r="K25" s="6">
        <f t="shared" si="2"/>
        <v>21343439</v>
      </c>
      <c r="L25" s="6">
        <f t="shared" si="3"/>
        <v>120</v>
      </c>
      <c r="M25" s="7">
        <f>(L25*1073)*0.15</f>
        <v>19314</v>
      </c>
      <c r="N25" s="7">
        <f>(L25*1073)*0.12</f>
        <v>15451.199999999999</v>
      </c>
      <c r="O25" s="7">
        <f t="shared" si="0"/>
        <v>3862.8000000000011</v>
      </c>
      <c r="P25" s="6" t="s">
        <v>33</v>
      </c>
    </row>
    <row r="26" spans="2:16" x14ac:dyDescent="0.35">
      <c r="B26" s="3" t="s">
        <v>22</v>
      </c>
      <c r="C26" s="4" t="s">
        <v>23</v>
      </c>
      <c r="D26" s="5" t="s">
        <v>28</v>
      </c>
      <c r="E26" s="6" t="s">
        <v>29</v>
      </c>
      <c r="F26" s="12" t="s">
        <v>3</v>
      </c>
      <c r="G26" s="5" t="s">
        <v>39</v>
      </c>
      <c r="H26" s="6">
        <f t="shared" si="1"/>
        <v>8153867</v>
      </c>
      <c r="I26" s="9">
        <v>45813</v>
      </c>
      <c r="J26" s="9">
        <v>45814</v>
      </c>
      <c r="K26" s="6">
        <f t="shared" si="2"/>
        <v>21343440</v>
      </c>
      <c r="L26" s="6">
        <f t="shared" si="3"/>
        <v>22</v>
      </c>
      <c r="M26" s="7">
        <f>(L26*225)*0.13</f>
        <v>643.5</v>
      </c>
      <c r="N26" s="7">
        <v>0</v>
      </c>
      <c r="O26" s="7">
        <f t="shared" si="0"/>
        <v>643.5</v>
      </c>
      <c r="P26" s="6" t="s">
        <v>32</v>
      </c>
    </row>
    <row r="27" spans="2:16" x14ac:dyDescent="0.35">
      <c r="B27" s="3" t="s">
        <v>22</v>
      </c>
      <c r="C27" s="4" t="s">
        <v>23</v>
      </c>
      <c r="D27" s="5" t="s">
        <v>30</v>
      </c>
      <c r="E27" s="6" t="s">
        <v>31</v>
      </c>
      <c r="F27" s="12" t="s">
        <v>3</v>
      </c>
      <c r="G27" s="5" t="s">
        <v>39</v>
      </c>
      <c r="H27" s="6">
        <f t="shared" si="1"/>
        <v>8153872</v>
      </c>
      <c r="I27" s="9">
        <v>45813</v>
      </c>
      <c r="J27" s="9">
        <v>45814</v>
      </c>
      <c r="K27" s="6">
        <f t="shared" si="2"/>
        <v>21343441</v>
      </c>
      <c r="L27" s="6">
        <f t="shared" si="3"/>
        <v>29</v>
      </c>
      <c r="M27" s="7">
        <f>(L27*3200)*0.12</f>
        <v>11136</v>
      </c>
      <c r="N27" s="7">
        <v>0</v>
      </c>
      <c r="O27" s="7">
        <f t="shared" si="0"/>
        <v>11136</v>
      </c>
      <c r="P27" s="6" t="s">
        <v>32</v>
      </c>
    </row>
    <row r="28" spans="2:16" x14ac:dyDescent="0.35">
      <c r="B28" s="3" t="s">
        <v>22</v>
      </c>
      <c r="C28" s="4" t="s">
        <v>23</v>
      </c>
      <c r="D28" s="5" t="s">
        <v>24</v>
      </c>
      <c r="E28" s="6" t="s">
        <v>25</v>
      </c>
      <c r="F28" s="12" t="s">
        <v>3</v>
      </c>
      <c r="G28" s="6" t="s">
        <v>40</v>
      </c>
      <c r="H28" s="6">
        <f t="shared" si="1"/>
        <v>8153873</v>
      </c>
      <c r="I28" s="9">
        <v>45812</v>
      </c>
      <c r="J28" s="9">
        <v>45813</v>
      </c>
      <c r="K28" s="6">
        <f t="shared" si="2"/>
        <v>32303429</v>
      </c>
      <c r="L28" s="6">
        <f t="shared" si="3"/>
        <v>80</v>
      </c>
      <c r="M28" s="7">
        <f>(L28*1073)*0.15</f>
        <v>12876</v>
      </c>
      <c r="N28" s="7">
        <f>(L28*1073)*0.12</f>
        <v>10300.799999999999</v>
      </c>
      <c r="O28" s="7">
        <f t="shared" si="0"/>
        <v>2575.2000000000007</v>
      </c>
      <c r="P28" s="6" t="s">
        <v>33</v>
      </c>
    </row>
    <row r="29" spans="2:16" x14ac:dyDescent="0.35">
      <c r="B29" s="3" t="s">
        <v>22</v>
      </c>
      <c r="C29" s="4" t="s">
        <v>23</v>
      </c>
      <c r="D29" s="5" t="s">
        <v>28</v>
      </c>
      <c r="E29" s="6" t="s">
        <v>29</v>
      </c>
      <c r="F29" s="12" t="s">
        <v>3</v>
      </c>
      <c r="G29" s="6" t="s">
        <v>40</v>
      </c>
      <c r="H29" s="6">
        <f>H22+1239</f>
        <v>6855149</v>
      </c>
      <c r="I29" s="9">
        <v>45812</v>
      </c>
      <c r="J29" s="9">
        <v>45813</v>
      </c>
      <c r="K29" s="6">
        <f t="shared" si="2"/>
        <v>32303430</v>
      </c>
      <c r="L29" s="6">
        <f t="shared" si="3"/>
        <v>59</v>
      </c>
      <c r="M29" s="7">
        <f>(L29*225)*0.13</f>
        <v>1725.75</v>
      </c>
      <c r="N29" s="7">
        <v>0</v>
      </c>
      <c r="O29" s="7">
        <f t="shared" si="0"/>
        <v>1725.75</v>
      </c>
      <c r="P29" s="6" t="s">
        <v>32</v>
      </c>
    </row>
    <row r="30" spans="2:16" x14ac:dyDescent="0.35">
      <c r="B30" s="3" t="s">
        <v>22</v>
      </c>
      <c r="C30" s="4" t="s">
        <v>23</v>
      </c>
      <c r="D30" s="5" t="s">
        <v>30</v>
      </c>
      <c r="E30" s="6" t="s">
        <v>31</v>
      </c>
      <c r="F30" s="12" t="s">
        <v>3</v>
      </c>
      <c r="G30" s="6" t="s">
        <v>40</v>
      </c>
      <c r="H30" s="6">
        <f t="shared" ref="H30:H33" si="4">H22+1234</f>
        <v>6855144</v>
      </c>
      <c r="I30" s="9">
        <v>45812</v>
      </c>
      <c r="J30" s="9">
        <v>45813</v>
      </c>
      <c r="K30" s="6">
        <f t="shared" si="2"/>
        <v>32303431</v>
      </c>
      <c r="L30" s="6">
        <f t="shared" si="3"/>
        <v>94</v>
      </c>
      <c r="M30" s="7">
        <f>(L30*3200)*0.14</f>
        <v>42112.000000000007</v>
      </c>
      <c r="N30" s="7">
        <f>L30*3200*0.12</f>
        <v>36096</v>
      </c>
      <c r="O30" s="7">
        <f t="shared" si="0"/>
        <v>6016.0000000000073</v>
      </c>
      <c r="P30" s="6" t="s">
        <v>33</v>
      </c>
    </row>
    <row r="31" spans="2:16" x14ac:dyDescent="0.35">
      <c r="B31" s="3" t="s">
        <v>22</v>
      </c>
      <c r="C31" s="4" t="s">
        <v>23</v>
      </c>
      <c r="D31" s="5" t="s">
        <v>24</v>
      </c>
      <c r="E31" s="6" t="s">
        <v>25</v>
      </c>
      <c r="F31" s="12" t="s">
        <v>3</v>
      </c>
      <c r="G31" s="5" t="s">
        <v>41</v>
      </c>
      <c r="H31" s="6">
        <f t="shared" si="4"/>
        <v>8355121</v>
      </c>
      <c r="I31" s="9">
        <v>45819</v>
      </c>
      <c r="J31" s="9">
        <v>45820</v>
      </c>
      <c r="K31" s="6">
        <f t="shared" si="2"/>
        <v>30343087</v>
      </c>
      <c r="L31" s="6">
        <f t="shared" si="3"/>
        <v>87</v>
      </c>
      <c r="M31" s="7">
        <f>(L31*1070)*0.12</f>
        <v>11170.8</v>
      </c>
      <c r="N31" s="7">
        <f>(L31*1073)*0.12</f>
        <v>11202.119999999999</v>
      </c>
      <c r="O31" s="15">
        <f t="shared" si="0"/>
        <v>-31.319999999999709</v>
      </c>
      <c r="P31" s="6" t="s">
        <v>33</v>
      </c>
    </row>
    <row r="32" spans="2:16" x14ac:dyDescent="0.35">
      <c r="B32" s="3" t="s">
        <v>22</v>
      </c>
      <c r="C32" s="4" t="s">
        <v>23</v>
      </c>
      <c r="D32" s="5" t="s">
        <v>28</v>
      </c>
      <c r="E32" s="6" t="s">
        <v>29</v>
      </c>
      <c r="F32" s="12" t="s">
        <v>3</v>
      </c>
      <c r="G32" s="5" t="s">
        <v>41</v>
      </c>
      <c r="H32" s="6">
        <f t="shared" si="4"/>
        <v>8355122</v>
      </c>
      <c r="I32" s="9">
        <v>45819</v>
      </c>
      <c r="J32" s="9">
        <v>45820</v>
      </c>
      <c r="K32" s="6">
        <f t="shared" si="2"/>
        <v>30343088</v>
      </c>
      <c r="L32" s="6">
        <f t="shared" si="3"/>
        <v>82</v>
      </c>
      <c r="M32" s="7">
        <f>(L32*225)*0.13</f>
        <v>2398.5</v>
      </c>
      <c r="N32" s="7">
        <v>0</v>
      </c>
      <c r="O32" s="7">
        <f t="shared" si="0"/>
        <v>2398.5</v>
      </c>
      <c r="P32" s="6" t="s">
        <v>32</v>
      </c>
    </row>
    <row r="33" spans="2:16" x14ac:dyDescent="0.35">
      <c r="B33" s="3" t="s">
        <v>22</v>
      </c>
      <c r="C33" s="4" t="s">
        <v>23</v>
      </c>
      <c r="D33" s="5" t="s">
        <v>30</v>
      </c>
      <c r="E33" s="6" t="s">
        <v>31</v>
      </c>
      <c r="F33" s="12" t="s">
        <v>3</v>
      </c>
      <c r="G33" s="5" t="s">
        <v>41</v>
      </c>
      <c r="H33" s="6">
        <f t="shared" si="4"/>
        <v>8355123</v>
      </c>
      <c r="I33" s="9">
        <v>45819</v>
      </c>
      <c r="J33" s="9">
        <v>45820</v>
      </c>
      <c r="K33" s="6">
        <f t="shared" si="2"/>
        <v>30343089</v>
      </c>
      <c r="L33" s="6">
        <f t="shared" si="3"/>
        <v>69</v>
      </c>
      <c r="M33" s="7">
        <f>(L33*3200)*0.12</f>
        <v>26496</v>
      </c>
      <c r="N33" s="7">
        <v>0</v>
      </c>
      <c r="O33" s="7">
        <f t="shared" si="0"/>
        <v>26496</v>
      </c>
      <c r="P33" s="6" t="s">
        <v>32</v>
      </c>
    </row>
    <row r="34" spans="2:16" x14ac:dyDescent="0.35">
      <c r="B34" s="3" t="s">
        <v>22</v>
      </c>
      <c r="C34" s="4" t="s">
        <v>23</v>
      </c>
      <c r="D34" s="5" t="s">
        <v>24</v>
      </c>
      <c r="E34" s="6" t="s">
        <v>25</v>
      </c>
      <c r="F34" s="12" t="s">
        <v>35</v>
      </c>
      <c r="G34" s="6" t="s">
        <v>43</v>
      </c>
      <c r="H34" s="6">
        <f>H10+45363</f>
        <v>7397686</v>
      </c>
      <c r="I34" s="9">
        <v>45821</v>
      </c>
      <c r="J34" s="9">
        <v>45822</v>
      </c>
      <c r="K34" s="6">
        <f>K10+123754</f>
        <v>23328408</v>
      </c>
      <c r="L34" s="6">
        <f>L10+13</f>
        <v>58</v>
      </c>
      <c r="M34" s="7">
        <f>(L34*1073)*0.15</f>
        <v>9335.1</v>
      </c>
      <c r="N34" s="7">
        <f>(L34*1073)*0.12</f>
        <v>7468.08</v>
      </c>
      <c r="O34" s="7">
        <f t="shared" si="0"/>
        <v>1867.0200000000004</v>
      </c>
      <c r="P34" s="6" t="s">
        <v>33</v>
      </c>
    </row>
    <row r="35" spans="2:16" x14ac:dyDescent="0.35">
      <c r="B35" s="3" t="s">
        <v>22</v>
      </c>
      <c r="C35" s="4" t="s">
        <v>23</v>
      </c>
      <c r="D35" s="5" t="s">
        <v>28</v>
      </c>
      <c r="E35" s="6" t="s">
        <v>29</v>
      </c>
      <c r="F35" s="12" t="s">
        <v>35</v>
      </c>
      <c r="G35" s="6" t="s">
        <v>43</v>
      </c>
      <c r="H35" s="6">
        <f t="shared" ref="H35:H57" si="5">H11+45363</f>
        <v>7397687</v>
      </c>
      <c r="I35" s="9">
        <v>45821</v>
      </c>
      <c r="J35" s="9">
        <v>45822</v>
      </c>
      <c r="K35" s="6">
        <f t="shared" ref="K35:K57" si="6">K11+123754</f>
        <v>23328409</v>
      </c>
      <c r="L35" s="6">
        <f t="shared" ref="L35:L57" si="7">L11+13</f>
        <v>52</v>
      </c>
      <c r="M35" s="7">
        <f>(L35*225)*0.13</f>
        <v>1521</v>
      </c>
      <c r="N35" s="7">
        <v>0</v>
      </c>
      <c r="O35" s="7">
        <f t="shared" si="0"/>
        <v>1521</v>
      </c>
      <c r="P35" s="6" t="s">
        <v>32</v>
      </c>
    </row>
    <row r="36" spans="2:16" x14ac:dyDescent="0.35">
      <c r="B36" s="3" t="s">
        <v>22</v>
      </c>
      <c r="C36" s="4" t="s">
        <v>23</v>
      </c>
      <c r="D36" s="5" t="s">
        <v>30</v>
      </c>
      <c r="E36" s="6" t="s">
        <v>31</v>
      </c>
      <c r="F36" s="12" t="s">
        <v>35</v>
      </c>
      <c r="G36" s="6" t="s">
        <v>43</v>
      </c>
      <c r="H36" s="6">
        <f t="shared" si="5"/>
        <v>7397688</v>
      </c>
      <c r="I36" s="9">
        <v>45821</v>
      </c>
      <c r="J36" s="9">
        <v>45822</v>
      </c>
      <c r="K36" s="6">
        <f t="shared" si="6"/>
        <v>23328410</v>
      </c>
      <c r="L36" s="6">
        <f t="shared" si="7"/>
        <v>41</v>
      </c>
      <c r="M36" s="7">
        <f>(L36*3200)*0.13</f>
        <v>17056</v>
      </c>
      <c r="N36" s="7">
        <f>L36*3200*0.12</f>
        <v>15744</v>
      </c>
      <c r="O36" s="7">
        <f t="shared" si="0"/>
        <v>1312</v>
      </c>
      <c r="P36" s="6" t="s">
        <v>33</v>
      </c>
    </row>
    <row r="37" spans="2:16" x14ac:dyDescent="0.35">
      <c r="B37" s="3" t="s">
        <v>22</v>
      </c>
      <c r="C37" s="4" t="s">
        <v>23</v>
      </c>
      <c r="D37" s="5" t="s">
        <v>24</v>
      </c>
      <c r="E37" s="6" t="s">
        <v>25</v>
      </c>
      <c r="F37" s="12" t="s">
        <v>35</v>
      </c>
      <c r="G37" s="5" t="s">
        <v>44</v>
      </c>
      <c r="H37" s="6">
        <f t="shared" si="5"/>
        <v>6898037</v>
      </c>
      <c r="I37" s="9">
        <v>45813</v>
      </c>
      <c r="J37" s="9">
        <v>45814</v>
      </c>
      <c r="K37" s="6">
        <f t="shared" si="6"/>
        <v>21368430</v>
      </c>
      <c r="L37" s="6">
        <f t="shared" si="7"/>
        <v>122</v>
      </c>
      <c r="M37" s="7">
        <f>(L37*1073)*0.15</f>
        <v>19635.899999999998</v>
      </c>
      <c r="N37" s="7">
        <f>(L37*1073)*0.12</f>
        <v>15708.72</v>
      </c>
      <c r="O37" s="7">
        <f t="shared" si="0"/>
        <v>3927.1799999999985</v>
      </c>
      <c r="P37" s="6" t="s">
        <v>33</v>
      </c>
    </row>
    <row r="38" spans="2:16" x14ac:dyDescent="0.35">
      <c r="B38" s="3" t="s">
        <v>22</v>
      </c>
      <c r="C38" s="4" t="s">
        <v>23</v>
      </c>
      <c r="D38" s="5" t="s">
        <v>28</v>
      </c>
      <c r="E38" s="6" t="s">
        <v>29</v>
      </c>
      <c r="F38" s="12" t="s">
        <v>35</v>
      </c>
      <c r="G38" s="5" t="s">
        <v>44</v>
      </c>
      <c r="H38" s="6">
        <f t="shared" si="5"/>
        <v>6898038</v>
      </c>
      <c r="I38" s="9">
        <v>45813</v>
      </c>
      <c r="J38" s="9">
        <v>45814</v>
      </c>
      <c r="K38" s="6">
        <f t="shared" si="6"/>
        <v>21368431</v>
      </c>
      <c r="L38" s="6">
        <f t="shared" si="7"/>
        <v>24</v>
      </c>
      <c r="M38" s="7">
        <f>(L38*225)*0.13</f>
        <v>702</v>
      </c>
      <c r="N38" s="7">
        <v>0</v>
      </c>
      <c r="O38" s="7">
        <f t="shared" si="0"/>
        <v>702</v>
      </c>
      <c r="P38" s="6" t="s">
        <v>32</v>
      </c>
    </row>
    <row r="39" spans="2:16" x14ac:dyDescent="0.35">
      <c r="B39" s="3" t="s">
        <v>22</v>
      </c>
      <c r="C39" s="4" t="s">
        <v>23</v>
      </c>
      <c r="D39" s="5" t="s">
        <v>30</v>
      </c>
      <c r="E39" s="6" t="s">
        <v>31</v>
      </c>
      <c r="F39" s="12" t="s">
        <v>35</v>
      </c>
      <c r="G39" s="5" t="s">
        <v>44</v>
      </c>
      <c r="H39" s="6">
        <f t="shared" si="5"/>
        <v>6898039</v>
      </c>
      <c r="I39" s="9">
        <v>45813</v>
      </c>
      <c r="J39" s="9">
        <v>45814</v>
      </c>
      <c r="K39" s="6">
        <f t="shared" si="6"/>
        <v>21368432</v>
      </c>
      <c r="L39" s="6">
        <f t="shared" si="7"/>
        <v>31</v>
      </c>
      <c r="M39" s="7">
        <f>(L39*3200)*0.12</f>
        <v>11904</v>
      </c>
      <c r="N39" s="7">
        <v>0</v>
      </c>
      <c r="O39" s="7">
        <f t="shared" si="0"/>
        <v>11904</v>
      </c>
      <c r="P39" s="6" t="s">
        <v>32</v>
      </c>
    </row>
    <row r="40" spans="2:16" x14ac:dyDescent="0.35">
      <c r="B40" s="3" t="s">
        <v>22</v>
      </c>
      <c r="C40" s="4" t="s">
        <v>23</v>
      </c>
      <c r="D40" s="5" t="s">
        <v>24</v>
      </c>
      <c r="E40" s="6" t="s">
        <v>25</v>
      </c>
      <c r="F40" s="12" t="s">
        <v>35</v>
      </c>
      <c r="G40" s="6" t="s">
        <v>45</v>
      </c>
      <c r="H40" s="6">
        <f t="shared" si="5"/>
        <v>8398016</v>
      </c>
      <c r="I40" s="9">
        <v>45817</v>
      </c>
      <c r="J40" s="9">
        <v>45818</v>
      </c>
      <c r="K40" s="6">
        <f t="shared" si="6"/>
        <v>32328420</v>
      </c>
      <c r="L40" s="6">
        <f t="shared" si="7"/>
        <v>82</v>
      </c>
      <c r="M40" s="7">
        <f>(L40*1073)*0.15</f>
        <v>13197.9</v>
      </c>
      <c r="N40" s="7">
        <f>(L40*1073)*0.12</f>
        <v>10558.32</v>
      </c>
      <c r="O40" s="7">
        <f t="shared" si="0"/>
        <v>2639.58</v>
      </c>
      <c r="P40" s="6" t="s">
        <v>33</v>
      </c>
    </row>
    <row r="41" spans="2:16" x14ac:dyDescent="0.35">
      <c r="B41" s="3" t="s">
        <v>22</v>
      </c>
      <c r="C41" s="4" t="s">
        <v>23</v>
      </c>
      <c r="D41" s="5" t="s">
        <v>28</v>
      </c>
      <c r="E41" s="6" t="s">
        <v>29</v>
      </c>
      <c r="F41" s="12" t="s">
        <v>35</v>
      </c>
      <c r="G41" s="6" t="s">
        <v>45</v>
      </c>
      <c r="H41" s="6">
        <f t="shared" si="5"/>
        <v>8398017</v>
      </c>
      <c r="I41" s="9">
        <v>45817</v>
      </c>
      <c r="J41" s="9">
        <v>45818</v>
      </c>
      <c r="K41" s="6">
        <f t="shared" si="6"/>
        <v>32328421</v>
      </c>
      <c r="L41" s="6">
        <f t="shared" si="7"/>
        <v>61</v>
      </c>
      <c r="M41" s="7">
        <f>(L41*225)*0.13</f>
        <v>1784.25</v>
      </c>
      <c r="N41" s="7">
        <v>0</v>
      </c>
      <c r="O41" s="7">
        <f t="shared" si="0"/>
        <v>1784.25</v>
      </c>
      <c r="P41" s="6" t="s">
        <v>32</v>
      </c>
    </row>
    <row r="42" spans="2:16" x14ac:dyDescent="0.35">
      <c r="B42" s="3" t="s">
        <v>22</v>
      </c>
      <c r="C42" s="4" t="s">
        <v>23</v>
      </c>
      <c r="D42" s="5" t="s">
        <v>30</v>
      </c>
      <c r="E42" s="6" t="s">
        <v>31</v>
      </c>
      <c r="F42" s="12" t="s">
        <v>35</v>
      </c>
      <c r="G42" s="6" t="s">
        <v>45</v>
      </c>
      <c r="H42" s="6">
        <f t="shared" si="5"/>
        <v>8398018</v>
      </c>
      <c r="I42" s="9">
        <v>45817</v>
      </c>
      <c r="J42" s="9">
        <v>45818</v>
      </c>
      <c r="K42" s="6">
        <f t="shared" si="6"/>
        <v>32328422</v>
      </c>
      <c r="L42" s="6">
        <f t="shared" si="7"/>
        <v>96</v>
      </c>
      <c r="M42" s="7">
        <f>(L42*3200)*0.14</f>
        <v>43008.000000000007</v>
      </c>
      <c r="N42" s="7">
        <f>L42*3200*0.12</f>
        <v>36864</v>
      </c>
      <c r="O42" s="7">
        <f t="shared" si="0"/>
        <v>6144.0000000000073</v>
      </c>
      <c r="P42" s="6" t="s">
        <v>33</v>
      </c>
    </row>
    <row r="43" spans="2:16" x14ac:dyDescent="0.35">
      <c r="B43" s="3" t="s">
        <v>22</v>
      </c>
      <c r="C43" s="4" t="s">
        <v>23</v>
      </c>
      <c r="D43" s="5" t="s">
        <v>24</v>
      </c>
      <c r="E43" s="6" t="s">
        <v>25</v>
      </c>
      <c r="F43" s="12" t="s">
        <v>35</v>
      </c>
      <c r="G43" s="5" t="s">
        <v>46</v>
      </c>
      <c r="H43" s="6">
        <f t="shared" si="5"/>
        <v>8197996</v>
      </c>
      <c r="I43" s="9">
        <v>45809</v>
      </c>
      <c r="J43" s="9">
        <v>45810</v>
      </c>
      <c r="K43" s="6">
        <f t="shared" si="6"/>
        <v>30368078</v>
      </c>
      <c r="L43" s="6">
        <f t="shared" si="7"/>
        <v>89</v>
      </c>
      <c r="M43" s="7">
        <f>(L43*1070)*0.12</f>
        <v>11427.6</v>
      </c>
      <c r="N43" s="7">
        <f>(L43*1073)*0.12</f>
        <v>11459.64</v>
      </c>
      <c r="O43" s="15">
        <f t="shared" si="0"/>
        <v>-32.039999999999054</v>
      </c>
      <c r="P43" s="6" t="s">
        <v>33</v>
      </c>
    </row>
    <row r="44" spans="2:16" x14ac:dyDescent="0.35">
      <c r="B44" s="3" t="s">
        <v>22</v>
      </c>
      <c r="C44" s="4" t="s">
        <v>23</v>
      </c>
      <c r="D44" s="5" t="s">
        <v>28</v>
      </c>
      <c r="E44" s="6" t="s">
        <v>29</v>
      </c>
      <c r="F44" s="12" t="s">
        <v>35</v>
      </c>
      <c r="G44" s="5" t="s">
        <v>46</v>
      </c>
      <c r="H44" s="6">
        <f t="shared" si="5"/>
        <v>8198001</v>
      </c>
      <c r="I44" s="9">
        <v>45809</v>
      </c>
      <c r="J44" s="9">
        <v>45810</v>
      </c>
      <c r="K44" s="6">
        <f t="shared" si="6"/>
        <v>30368079</v>
      </c>
      <c r="L44" s="6">
        <f t="shared" si="7"/>
        <v>84</v>
      </c>
      <c r="M44" s="7">
        <f>(L44*225)*0.13</f>
        <v>2457</v>
      </c>
      <c r="N44" s="7">
        <v>0</v>
      </c>
      <c r="O44" s="7">
        <f t="shared" si="0"/>
        <v>2457</v>
      </c>
      <c r="P44" s="6" t="s">
        <v>32</v>
      </c>
    </row>
    <row r="45" spans="2:16" x14ac:dyDescent="0.35">
      <c r="B45" s="3" t="s">
        <v>22</v>
      </c>
      <c r="C45" s="4" t="s">
        <v>23</v>
      </c>
      <c r="D45" s="5" t="s">
        <v>30</v>
      </c>
      <c r="E45" s="6" t="s">
        <v>31</v>
      </c>
      <c r="F45" s="12" t="s">
        <v>35</v>
      </c>
      <c r="G45" s="5" t="s">
        <v>46</v>
      </c>
      <c r="H45" s="6">
        <f t="shared" si="5"/>
        <v>8198002</v>
      </c>
      <c r="I45" s="9">
        <v>45809</v>
      </c>
      <c r="J45" s="9">
        <v>45810</v>
      </c>
      <c r="K45" s="6">
        <f t="shared" si="6"/>
        <v>30368080</v>
      </c>
      <c r="L45" s="6">
        <f t="shared" si="7"/>
        <v>71</v>
      </c>
      <c r="M45" s="7">
        <f>(L45*3200)*0.12</f>
        <v>27264</v>
      </c>
      <c r="N45" s="7">
        <v>0</v>
      </c>
      <c r="O45" s="7">
        <f t="shared" si="0"/>
        <v>27264</v>
      </c>
      <c r="P45" s="6" t="s">
        <v>32</v>
      </c>
    </row>
    <row r="46" spans="2:16" x14ac:dyDescent="0.35">
      <c r="B46" s="3" t="s">
        <v>22</v>
      </c>
      <c r="C46" s="4" t="s">
        <v>23</v>
      </c>
      <c r="D46" s="5" t="s">
        <v>24</v>
      </c>
      <c r="E46" s="6" t="s">
        <v>25</v>
      </c>
      <c r="F46" s="12" t="s">
        <v>35</v>
      </c>
      <c r="G46" s="6" t="s">
        <v>47</v>
      </c>
      <c r="H46" s="6">
        <f t="shared" si="5"/>
        <v>6899273</v>
      </c>
      <c r="I46" s="9">
        <v>45810</v>
      </c>
      <c r="J46" s="9">
        <v>45811</v>
      </c>
      <c r="K46" s="6">
        <f t="shared" si="6"/>
        <v>23427171</v>
      </c>
      <c r="L46" s="6">
        <f t="shared" si="7"/>
        <v>69</v>
      </c>
      <c r="M46" s="7">
        <f>(L46*1073)*0.15</f>
        <v>11105.55</v>
      </c>
      <c r="N46" s="7">
        <f>(L46*1073)*0.12</f>
        <v>8884.44</v>
      </c>
      <c r="O46" s="7">
        <f t="shared" si="0"/>
        <v>2221.1099999999988</v>
      </c>
      <c r="P46" s="6" t="s">
        <v>33</v>
      </c>
    </row>
    <row r="47" spans="2:16" x14ac:dyDescent="0.35">
      <c r="B47" s="3" t="s">
        <v>22</v>
      </c>
      <c r="C47" s="4" t="s">
        <v>23</v>
      </c>
      <c r="D47" s="5" t="s">
        <v>28</v>
      </c>
      <c r="E47" s="6" t="s">
        <v>29</v>
      </c>
      <c r="F47" s="12" t="s">
        <v>35</v>
      </c>
      <c r="G47" s="6" t="s">
        <v>47</v>
      </c>
      <c r="H47" s="6">
        <f t="shared" si="5"/>
        <v>8399250</v>
      </c>
      <c r="I47" s="9">
        <v>45810</v>
      </c>
      <c r="J47" s="9">
        <v>45811</v>
      </c>
      <c r="K47" s="6">
        <f t="shared" si="6"/>
        <v>23427172</v>
      </c>
      <c r="L47" s="6">
        <f t="shared" si="7"/>
        <v>63</v>
      </c>
      <c r="M47" s="7">
        <f>(L47*225)*0.13</f>
        <v>1842.75</v>
      </c>
      <c r="N47" s="7">
        <v>0</v>
      </c>
      <c r="O47" s="7">
        <f t="shared" si="0"/>
        <v>1842.75</v>
      </c>
      <c r="P47" s="6" t="s">
        <v>32</v>
      </c>
    </row>
    <row r="48" spans="2:16" x14ac:dyDescent="0.35">
      <c r="B48" s="3" t="s">
        <v>22</v>
      </c>
      <c r="C48" s="4" t="s">
        <v>23</v>
      </c>
      <c r="D48" s="5" t="s">
        <v>30</v>
      </c>
      <c r="E48" s="6" t="s">
        <v>31</v>
      </c>
      <c r="F48" s="12" t="s">
        <v>35</v>
      </c>
      <c r="G48" s="6" t="s">
        <v>47</v>
      </c>
      <c r="H48" s="6">
        <f t="shared" si="5"/>
        <v>8399251</v>
      </c>
      <c r="I48" s="9">
        <v>45810</v>
      </c>
      <c r="J48" s="9">
        <v>45811</v>
      </c>
      <c r="K48" s="6">
        <f t="shared" si="6"/>
        <v>23427173</v>
      </c>
      <c r="L48" s="6">
        <f t="shared" si="7"/>
        <v>52</v>
      </c>
      <c r="M48" s="7">
        <f>(L48*3200)*0.13</f>
        <v>21632</v>
      </c>
      <c r="N48" s="7">
        <f>L48*3200*0.12</f>
        <v>19968</v>
      </c>
      <c r="O48" s="7">
        <f t="shared" si="0"/>
        <v>1664</v>
      </c>
      <c r="P48" s="6" t="s">
        <v>33</v>
      </c>
    </row>
    <row r="49" spans="2:16" x14ac:dyDescent="0.35">
      <c r="B49" s="3" t="s">
        <v>22</v>
      </c>
      <c r="C49" s="4" t="s">
        <v>23</v>
      </c>
      <c r="D49" s="5" t="s">
        <v>24</v>
      </c>
      <c r="E49" s="6" t="s">
        <v>25</v>
      </c>
      <c r="F49" s="12" t="s">
        <v>35</v>
      </c>
      <c r="G49" s="5" t="s">
        <v>48</v>
      </c>
      <c r="H49" s="6">
        <f t="shared" si="5"/>
        <v>8399252</v>
      </c>
      <c r="I49" s="9">
        <v>45813</v>
      </c>
      <c r="J49" s="9">
        <v>45814</v>
      </c>
      <c r="K49" s="6">
        <f t="shared" si="6"/>
        <v>21467193</v>
      </c>
      <c r="L49" s="6">
        <f t="shared" si="7"/>
        <v>133</v>
      </c>
      <c r="M49" s="7">
        <f>(L49*1073)*0.15</f>
        <v>21406.35</v>
      </c>
      <c r="N49" s="7">
        <f>(L49*1073)*0.12</f>
        <v>17125.079999999998</v>
      </c>
      <c r="O49" s="7">
        <f t="shared" si="0"/>
        <v>4281.2700000000004</v>
      </c>
      <c r="P49" s="6" t="s">
        <v>33</v>
      </c>
    </row>
    <row r="50" spans="2:16" x14ac:dyDescent="0.35">
      <c r="B50" s="3" t="s">
        <v>22</v>
      </c>
      <c r="C50" s="4" t="s">
        <v>23</v>
      </c>
      <c r="D50" s="5" t="s">
        <v>28</v>
      </c>
      <c r="E50" s="6" t="s">
        <v>29</v>
      </c>
      <c r="F50" s="12" t="s">
        <v>35</v>
      </c>
      <c r="G50" s="5" t="s">
        <v>48</v>
      </c>
      <c r="H50" s="6">
        <f t="shared" si="5"/>
        <v>8199230</v>
      </c>
      <c r="I50" s="9">
        <v>45813</v>
      </c>
      <c r="J50" s="9">
        <v>45814</v>
      </c>
      <c r="K50" s="6">
        <f t="shared" si="6"/>
        <v>21467194</v>
      </c>
      <c r="L50" s="6">
        <f t="shared" si="7"/>
        <v>35</v>
      </c>
      <c r="M50" s="7">
        <f>(L50*225)*0.13</f>
        <v>1023.75</v>
      </c>
      <c r="N50" s="7">
        <v>0</v>
      </c>
      <c r="O50" s="7">
        <f t="shared" si="0"/>
        <v>1023.75</v>
      </c>
      <c r="P50" s="6" t="s">
        <v>32</v>
      </c>
    </row>
    <row r="51" spans="2:16" x14ac:dyDescent="0.35">
      <c r="B51" s="3" t="s">
        <v>22</v>
      </c>
      <c r="C51" s="4" t="s">
        <v>23</v>
      </c>
      <c r="D51" s="5" t="s">
        <v>30</v>
      </c>
      <c r="E51" s="6" t="s">
        <v>31</v>
      </c>
      <c r="F51" s="12" t="s">
        <v>35</v>
      </c>
      <c r="G51" s="5" t="s">
        <v>48</v>
      </c>
      <c r="H51" s="6">
        <f t="shared" si="5"/>
        <v>8199235</v>
      </c>
      <c r="I51" s="9">
        <v>45813</v>
      </c>
      <c r="J51" s="9">
        <v>45814</v>
      </c>
      <c r="K51" s="6">
        <f t="shared" si="6"/>
        <v>21467195</v>
      </c>
      <c r="L51" s="6">
        <f t="shared" si="7"/>
        <v>42</v>
      </c>
      <c r="M51" s="7">
        <f>(L51*3200)*0.12</f>
        <v>16128</v>
      </c>
      <c r="N51" s="7">
        <v>0</v>
      </c>
      <c r="O51" s="7">
        <f t="shared" si="0"/>
        <v>16128</v>
      </c>
      <c r="P51" s="6" t="s">
        <v>32</v>
      </c>
    </row>
    <row r="52" spans="2:16" x14ac:dyDescent="0.35">
      <c r="B52" s="3" t="s">
        <v>22</v>
      </c>
      <c r="C52" s="4" t="s">
        <v>23</v>
      </c>
      <c r="D52" s="5" t="s">
        <v>24</v>
      </c>
      <c r="E52" s="6" t="s">
        <v>25</v>
      </c>
      <c r="F52" s="12" t="s">
        <v>35</v>
      </c>
      <c r="G52" s="6" t="s">
        <v>49</v>
      </c>
      <c r="H52" s="6">
        <f t="shared" si="5"/>
        <v>8199236</v>
      </c>
      <c r="I52" s="9">
        <v>45812</v>
      </c>
      <c r="J52" s="9">
        <v>45813</v>
      </c>
      <c r="K52" s="6">
        <f t="shared" si="6"/>
        <v>32427183</v>
      </c>
      <c r="L52" s="6">
        <f t="shared" si="7"/>
        <v>93</v>
      </c>
      <c r="M52" s="7">
        <f>(L52*1073)*0.15</f>
        <v>14968.349999999999</v>
      </c>
      <c r="N52" s="7">
        <f>(L52*1073)*0.12</f>
        <v>11974.68</v>
      </c>
      <c r="O52" s="7">
        <f t="shared" si="0"/>
        <v>2993.6699999999983</v>
      </c>
      <c r="P52" s="6" t="s">
        <v>33</v>
      </c>
    </row>
    <row r="53" spans="2:16" x14ac:dyDescent="0.35">
      <c r="B53" s="3" t="s">
        <v>22</v>
      </c>
      <c r="C53" s="4" t="s">
        <v>23</v>
      </c>
      <c r="D53" s="5" t="s">
        <v>28</v>
      </c>
      <c r="E53" s="6" t="s">
        <v>29</v>
      </c>
      <c r="F53" s="12" t="s">
        <v>35</v>
      </c>
      <c r="G53" s="6" t="s">
        <v>49</v>
      </c>
      <c r="H53" s="6">
        <f t="shared" si="5"/>
        <v>6900512</v>
      </c>
      <c r="I53" s="9">
        <v>45812</v>
      </c>
      <c r="J53" s="9">
        <v>45813</v>
      </c>
      <c r="K53" s="6">
        <f t="shared" si="6"/>
        <v>32427184</v>
      </c>
      <c r="L53" s="6">
        <f t="shared" si="7"/>
        <v>72</v>
      </c>
      <c r="M53" s="7">
        <f>(L53*225)*0.13</f>
        <v>2106</v>
      </c>
      <c r="N53" s="7">
        <v>0</v>
      </c>
      <c r="O53" s="7">
        <f t="shared" si="0"/>
        <v>2106</v>
      </c>
      <c r="P53" s="6" t="s">
        <v>32</v>
      </c>
    </row>
    <row r="54" spans="2:16" x14ac:dyDescent="0.35">
      <c r="B54" s="3" t="s">
        <v>22</v>
      </c>
      <c r="C54" s="4" t="s">
        <v>23</v>
      </c>
      <c r="D54" s="5" t="s">
        <v>30</v>
      </c>
      <c r="E54" s="6" t="s">
        <v>31</v>
      </c>
      <c r="F54" s="12" t="s">
        <v>35</v>
      </c>
      <c r="G54" s="6" t="s">
        <v>49</v>
      </c>
      <c r="H54" s="6">
        <f t="shared" si="5"/>
        <v>6900507</v>
      </c>
      <c r="I54" s="9">
        <v>45812</v>
      </c>
      <c r="J54" s="9">
        <v>45813</v>
      </c>
      <c r="K54" s="6">
        <f t="shared" si="6"/>
        <v>32427185</v>
      </c>
      <c r="L54" s="6">
        <f t="shared" si="7"/>
        <v>107</v>
      </c>
      <c r="M54" s="7">
        <f>(L54*3200)*0.14</f>
        <v>47936.000000000007</v>
      </c>
      <c r="N54" s="7">
        <f>L54*3200*0.12</f>
        <v>41088</v>
      </c>
      <c r="O54" s="7">
        <f t="shared" si="0"/>
        <v>6848.0000000000073</v>
      </c>
      <c r="P54" s="6" t="s">
        <v>33</v>
      </c>
    </row>
    <row r="55" spans="2:16" x14ac:dyDescent="0.35">
      <c r="B55" s="3" t="s">
        <v>22</v>
      </c>
      <c r="C55" s="4" t="s">
        <v>23</v>
      </c>
      <c r="D55" s="5" t="s">
        <v>24</v>
      </c>
      <c r="E55" s="6" t="s">
        <v>25</v>
      </c>
      <c r="F55" s="12" t="s">
        <v>35</v>
      </c>
      <c r="G55" s="5" t="s">
        <v>50</v>
      </c>
      <c r="H55" s="6">
        <f t="shared" si="5"/>
        <v>8400484</v>
      </c>
      <c r="I55" s="9">
        <v>45819</v>
      </c>
      <c r="J55" s="9">
        <v>45820</v>
      </c>
      <c r="K55" s="6">
        <f t="shared" si="6"/>
        <v>30466841</v>
      </c>
      <c r="L55" s="6">
        <f t="shared" si="7"/>
        <v>100</v>
      </c>
      <c r="M55" s="7">
        <f>(L55*1070)*0.12</f>
        <v>12840</v>
      </c>
      <c r="N55" s="7">
        <f>(L55*1073)*0.12</f>
        <v>12876</v>
      </c>
      <c r="O55" s="15">
        <f t="shared" si="0"/>
        <v>-36</v>
      </c>
      <c r="P55" s="6" t="s">
        <v>33</v>
      </c>
    </row>
    <row r="56" spans="2:16" x14ac:dyDescent="0.35">
      <c r="B56" s="3" t="s">
        <v>22</v>
      </c>
      <c r="C56" s="4" t="s">
        <v>23</v>
      </c>
      <c r="D56" s="5" t="s">
        <v>28</v>
      </c>
      <c r="E56" s="6" t="s">
        <v>29</v>
      </c>
      <c r="F56" s="12" t="s">
        <v>35</v>
      </c>
      <c r="G56" s="5" t="s">
        <v>50</v>
      </c>
      <c r="H56" s="6">
        <f t="shared" si="5"/>
        <v>8400485</v>
      </c>
      <c r="I56" s="9">
        <v>45819</v>
      </c>
      <c r="J56" s="9">
        <v>45820</v>
      </c>
      <c r="K56" s="6">
        <f t="shared" si="6"/>
        <v>30466842</v>
      </c>
      <c r="L56" s="6">
        <f t="shared" si="7"/>
        <v>95</v>
      </c>
      <c r="M56" s="7">
        <f>(L56*225)*0.13</f>
        <v>2778.75</v>
      </c>
      <c r="N56" s="7">
        <v>0</v>
      </c>
      <c r="O56" s="7">
        <f t="shared" si="0"/>
        <v>2778.75</v>
      </c>
      <c r="P56" s="6" t="s">
        <v>32</v>
      </c>
    </row>
    <row r="57" spans="2:16" x14ac:dyDescent="0.35">
      <c r="B57" s="3" t="s">
        <v>22</v>
      </c>
      <c r="C57" s="4" t="s">
        <v>23</v>
      </c>
      <c r="D57" s="5" t="s">
        <v>30</v>
      </c>
      <c r="E57" s="6" t="s">
        <v>31</v>
      </c>
      <c r="F57" s="12" t="s">
        <v>35</v>
      </c>
      <c r="G57" s="5" t="s">
        <v>50</v>
      </c>
      <c r="H57" s="6">
        <f t="shared" si="5"/>
        <v>8400486</v>
      </c>
      <c r="I57" s="9">
        <v>45819</v>
      </c>
      <c r="J57" s="9">
        <v>45820</v>
      </c>
      <c r="K57" s="6">
        <f t="shared" si="6"/>
        <v>30466843</v>
      </c>
      <c r="L57" s="6">
        <f t="shared" si="7"/>
        <v>82</v>
      </c>
      <c r="M57" s="7">
        <f>(L57*3200)*0.12</f>
        <v>31488</v>
      </c>
      <c r="N57" s="7">
        <v>0</v>
      </c>
      <c r="O57" s="7">
        <f t="shared" si="0"/>
        <v>31488</v>
      </c>
      <c r="P57" s="6" t="s">
        <v>32</v>
      </c>
    </row>
    <row r="58" spans="2:16" x14ac:dyDescent="0.35">
      <c r="N58" s="13" t="s">
        <v>51</v>
      </c>
      <c r="O58" s="14">
        <f>SUM(O10:O57)</f>
        <v>241651.11999999994</v>
      </c>
    </row>
    <row r="59" spans="2:16" x14ac:dyDescent="0.35">
      <c r="B59" s="1" t="s">
        <v>7</v>
      </c>
      <c r="C59" s="16" t="s">
        <v>8</v>
      </c>
      <c r="D59" s="16"/>
      <c r="E59" s="16"/>
      <c r="F59" s="16"/>
      <c r="G59" s="16"/>
    </row>
    <row r="61" spans="2:16" x14ac:dyDescent="0.35">
      <c r="E61" s="1" t="s">
        <v>54</v>
      </c>
    </row>
    <row r="66" spans="5:5" x14ac:dyDescent="0.35">
      <c r="E66" s="1"/>
    </row>
    <row r="67" spans="5:5" x14ac:dyDescent="0.35">
      <c r="E67" s="1"/>
    </row>
  </sheetData>
  <mergeCells count="2">
    <mergeCell ref="C59:G59"/>
    <mergeCell ref="C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Gurumurthy</dc:creator>
  <cp:lastModifiedBy>Karthik Ananth</cp:lastModifiedBy>
  <dcterms:created xsi:type="dcterms:W3CDTF">2025-07-07T10:13:26Z</dcterms:created>
  <dcterms:modified xsi:type="dcterms:W3CDTF">2025-07-10T04:50:24Z</dcterms:modified>
</cp:coreProperties>
</file>