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rthik\Files\Proposals\Fresenius\Report Output\"/>
    </mc:Choice>
  </mc:AlternateContent>
  <xr:revisionPtr revIDLastSave="0" documentId="13_ncr:1_{895767FF-06D3-4CB3-8838-493EAE59FC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7" l="1"/>
  <c r="E29" i="17" s="1"/>
  <c r="D28" i="17"/>
  <c r="D27" i="17"/>
  <c r="D25" i="17"/>
  <c r="E25" i="17" s="1"/>
  <c r="D24" i="17"/>
  <c r="E24" i="17" s="1"/>
  <c r="D23" i="17"/>
  <c r="D21" i="17"/>
  <c r="D20" i="17"/>
  <c r="E20" i="17" s="1"/>
  <c r="H20" i="17" s="1"/>
  <c r="D19" i="17"/>
  <c r="D22" i="17" s="1"/>
  <c r="D17" i="17"/>
  <c r="E17" i="17" s="1"/>
  <c r="D16" i="17"/>
  <c r="E16" i="17" s="1"/>
  <c r="D15" i="17"/>
  <c r="E15" i="17" s="1"/>
  <c r="D13" i="17"/>
  <c r="D14" i="17" s="1"/>
  <c r="D12" i="17"/>
  <c r="D11" i="17"/>
  <c r="E21" i="17"/>
  <c r="E28" i="17"/>
  <c r="E23" i="17"/>
  <c r="E13" i="17"/>
  <c r="E12" i="17"/>
  <c r="H12" i="17" s="1"/>
  <c r="E11" i="17"/>
  <c r="G11" i="17" s="1"/>
  <c r="D30" i="17" l="1"/>
  <c r="E27" i="17"/>
  <c r="D26" i="17"/>
  <c r="E19" i="17"/>
  <c r="I19" i="17" s="1"/>
  <c r="D18" i="17"/>
  <c r="H11" i="17"/>
  <c r="I11" i="17"/>
  <c r="I27" i="17"/>
  <c r="I20" i="17"/>
  <c r="G20" i="17"/>
  <c r="I12" i="17"/>
  <c r="F29" i="17"/>
  <c r="G29" i="17"/>
  <c r="H29" i="17"/>
  <c r="I29" i="17"/>
  <c r="F28" i="17"/>
  <c r="G28" i="17"/>
  <c r="H28" i="17"/>
  <c r="I28" i="17"/>
  <c r="F27" i="17"/>
  <c r="F25" i="17"/>
  <c r="G25" i="17"/>
  <c r="H25" i="17"/>
  <c r="I25" i="17"/>
  <c r="F24" i="17"/>
  <c r="G24" i="17"/>
  <c r="H24" i="17"/>
  <c r="I24" i="17"/>
  <c r="F23" i="17"/>
  <c r="G23" i="17"/>
  <c r="H23" i="17"/>
  <c r="I23" i="17"/>
  <c r="F21" i="17"/>
  <c r="G21" i="17"/>
  <c r="H21" i="17"/>
  <c r="I21" i="17"/>
  <c r="I22" i="17" s="1"/>
  <c r="F20" i="17"/>
  <c r="J20" i="17" s="1"/>
  <c r="F19" i="17"/>
  <c r="F22" i="17" s="1"/>
  <c r="G19" i="17"/>
  <c r="H19" i="17"/>
  <c r="F17" i="17"/>
  <c r="G17" i="17"/>
  <c r="H17" i="17"/>
  <c r="I17" i="17"/>
  <c r="F16" i="17"/>
  <c r="G16" i="17"/>
  <c r="H16" i="17"/>
  <c r="I16" i="17"/>
  <c r="G15" i="17"/>
  <c r="H15" i="17"/>
  <c r="F15" i="17"/>
  <c r="I15" i="17"/>
  <c r="F13" i="17"/>
  <c r="G13" i="17"/>
  <c r="H13" i="17"/>
  <c r="H14" i="17" s="1"/>
  <c r="I13" i="17"/>
  <c r="F12" i="17"/>
  <c r="G12" i="17"/>
  <c r="F11" i="17"/>
  <c r="J11" i="17" s="1"/>
  <c r="E30" i="17"/>
  <c r="E26" i="17"/>
  <c r="E22" i="17"/>
  <c r="E18" i="17"/>
  <c r="E14" i="17"/>
  <c r="J23" i="17" l="1"/>
  <c r="M23" i="17" s="1"/>
  <c r="J15" i="17"/>
  <c r="M15" i="17" s="1"/>
  <c r="J29" i="17"/>
  <c r="K29" i="17" s="1"/>
  <c r="I30" i="17"/>
  <c r="G27" i="17"/>
  <c r="G30" i="17" s="1"/>
  <c r="H27" i="17"/>
  <c r="H30" i="17" s="1"/>
  <c r="G22" i="17"/>
  <c r="H18" i="17"/>
  <c r="J28" i="17"/>
  <c r="L28" i="17" s="1"/>
  <c r="J25" i="17"/>
  <c r="M25" i="17" s="1"/>
  <c r="I26" i="17"/>
  <c r="J24" i="17"/>
  <c r="L24" i="17" s="1"/>
  <c r="H22" i="17"/>
  <c r="J21" i="17"/>
  <c r="K21" i="17" s="1"/>
  <c r="J17" i="17"/>
  <c r="L17" i="17" s="1"/>
  <c r="I18" i="17"/>
  <c r="J16" i="17"/>
  <c r="M16" i="17" s="1"/>
  <c r="J13" i="17"/>
  <c r="M13" i="17" s="1"/>
  <c r="I14" i="17"/>
  <c r="J12" i="17"/>
  <c r="L12" i="17" s="1"/>
  <c r="L29" i="17"/>
  <c r="M20" i="17"/>
  <c r="L20" i="17"/>
  <c r="K20" i="17"/>
  <c r="J19" i="17"/>
  <c r="L15" i="17"/>
  <c r="F26" i="17"/>
  <c r="G26" i="17"/>
  <c r="G18" i="17"/>
  <c r="H26" i="17"/>
  <c r="F30" i="17"/>
  <c r="F18" i="17"/>
  <c r="L11" i="17"/>
  <c r="G14" i="17"/>
  <c r="F14" i="17"/>
  <c r="K12" i="17" l="1"/>
  <c r="K17" i="17"/>
  <c r="M17" i="17"/>
  <c r="J27" i="17"/>
  <c r="M27" i="17" s="1"/>
  <c r="M24" i="17"/>
  <c r="M29" i="17"/>
  <c r="K23" i="17"/>
  <c r="L23" i="17"/>
  <c r="L21" i="17"/>
  <c r="M21" i="17"/>
  <c r="K15" i="17"/>
  <c r="L27" i="17"/>
  <c r="L30" i="17" s="1"/>
  <c r="K27" i="17"/>
  <c r="K30" i="17" s="1"/>
  <c r="K25" i="17"/>
  <c r="L25" i="17"/>
  <c r="K24" i="17"/>
  <c r="M12" i="17"/>
  <c r="J30" i="17"/>
  <c r="M28" i="17"/>
  <c r="M30" i="17" s="1"/>
  <c r="K28" i="17"/>
  <c r="J18" i="17"/>
  <c r="K16" i="17"/>
  <c r="K18" i="17" s="1"/>
  <c r="L16" i="17"/>
  <c r="L18" i="17" s="1"/>
  <c r="K13" i="17"/>
  <c r="L13" i="17"/>
  <c r="L14" i="17" s="1"/>
  <c r="L19" i="17"/>
  <c r="M19" i="17"/>
  <c r="K19" i="17"/>
  <c r="J26" i="17"/>
  <c r="J22" i="17"/>
  <c r="M18" i="17"/>
  <c r="M11" i="17"/>
  <c r="J14" i="17"/>
  <c r="K11" i="17"/>
  <c r="M26" i="17"/>
  <c r="M14" i="17" l="1"/>
  <c r="K14" i="17"/>
  <c r="M22" i="17"/>
  <c r="L22" i="17"/>
  <c r="K26" i="17"/>
  <c r="K22" i="17"/>
  <c r="L26" i="17"/>
</calcChain>
</file>

<file path=xl/sharedStrings.xml><?xml version="1.0" encoding="utf-8"?>
<sst xmlns="http://schemas.openxmlformats.org/spreadsheetml/2006/main" count="53" uniqueCount="36">
  <si>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</si>
  <si>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</si>
  <si>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</si>
  <si>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</si>
  <si>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</si>
  <si>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</si>
  <si>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</si>
  <si>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</si>
  <si>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</si>
  <si>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</si>
  <si>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Future Rebate/Chargeback Accrual Forecast Report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</si>
  <si>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</si>
  <si>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</si>
  <si>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</si>
  <si>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</si>
  <si>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</si>
  <si>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</si>
  <si>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Run by: Admin</t>
  </si>
  <si>
    <t>Products</t>
  </si>
  <si>
    <t>AmerisourceBergen, Cardinal Health, McKesson</t>
  </si>
  <si>
    <t>Period</t>
  </si>
  <si>
    <t>Page 1 of 1</t>
  </si>
  <si>
    <t>Confidential Information of Fresenius Kabi.  Do not copy or distribute.</t>
  </si>
  <si>
    <t>Aminomix 1 Novum, Aminosteril N-Hepa 8%, Omegaven, Kabimustine, Bevacizumab</t>
  </si>
  <si>
    <t>Fee For Service $</t>
  </si>
  <si>
    <t>Gross Sales</t>
  </si>
  <si>
    <t xml:space="preserve">Rebates $ </t>
  </si>
  <si>
    <t xml:space="preserve">Admin Fees $ </t>
  </si>
  <si>
    <t>April 2025</t>
  </si>
  <si>
    <t>Period Type</t>
  </si>
  <si>
    <t>Month</t>
  </si>
  <si>
    <t>Wholesaler</t>
  </si>
  <si>
    <t>Best Case</t>
  </si>
  <si>
    <t>Worst Case</t>
  </si>
  <si>
    <t>Powered by SRM Tech</t>
  </si>
  <si>
    <t>Run Date: Jul 11,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</si>
</sst>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8" fillId="0" borderId="7" xfId="0" applyFont="1" applyBorder="1" applyAlignment="1">
      <alignment horizontal="center"/>
    </xf>
    <xf numFmtId="1" fontId="2" fillId="0" borderId="5" xfId="0" applyNumberFormat="1" applyFont="1" applyBorder="1"/>
    <xf numFmtId="1" fontId="5" fillId="2" borderId="5" xfId="0" applyNumberFormat="1" applyFont="1" applyFill="1" applyBorder="1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158750</xdr:rowOff>
    </xdr:from>
    <xdr:to>
      <xdr:col>1</xdr:col>
      <xdr:colOff>1102154</xdr:colOff>
      <xdr:row>2</xdr:row>
      <xdr:rowOff>6350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120886A3-6EA5-4EBF-9AE3-55840A6F12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41350" y="158750"/>
          <a:ext cx="1070404" cy="27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</xdr:colOff>
      <xdr:row>32</xdr:row>
      <xdr:rowOff>120650</xdr:rowOff>
    </xdr:from>
    <xdr:to>
      <xdr:col>7</xdr:col>
      <xdr:colOff>495300</xdr:colOff>
      <xdr:row>34</xdr:row>
      <xdr:rowOff>100618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182BBB-7569-4ACC-BECE-74A71C66F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0800" y="6178550"/>
          <a:ext cx="444500" cy="348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B2:N34"/>
  <sheetViews>
    <sheetView tabSelected="1" workbookViewId="0">
      <selection activeCell="B4" sqref="B4"/>
    </sheetView>
  </sheetViews>
  <sheetFormatPr defaultRowHeight="14.5" x14ac:dyDescent="0.35"/>
  <cols>
    <col min="2" max="2" width="22" bestFit="1" customWidth="1"/>
    <col min="3" max="3" width="18.81640625" bestFit="1" customWidth="1"/>
    <col min="4" max="4" width="11" customWidth="1"/>
    <col min="5" max="5" width="23.81640625" style="2" customWidth="1"/>
    <col min="6" max="6" width="24.1796875" style="2" customWidth="1"/>
    <col min="7" max="7" width="18.7265625" style="2" bestFit="1" customWidth="1"/>
    <col min="8" max="10" width="18.7265625" style="2" customWidth="1"/>
    <col min="11" max="11" width="26.54296875" style="2" bestFit="1" customWidth="1"/>
    <col min="12" max="12" width="26.54296875" style="2" customWidth="1"/>
    <col min="13" max="13" width="30.7265625" style="2" bestFit="1" customWidth="1"/>
  </cols>
  <sheetData>
    <row r="2" spans="2:14" ht="19" customHeight="1" x14ac:dyDescent="0.45">
      <c r="C2" s="26" t="s">
        <v>10</v>
      </c>
      <c r="D2" s="26"/>
      <c r="E2" s="26"/>
      <c r="F2" s="26"/>
      <c r="G2" s="26"/>
      <c r="H2" s="26"/>
      <c r="I2" s="19"/>
    </row>
    <row r="3" spans="2:14" ht="15.65" customHeight="1" x14ac:dyDescent="0.45">
      <c r="E3" s="19"/>
      <c r="F3" s="19"/>
      <c r="G3" s="19"/>
      <c r="H3" s="19"/>
      <c r="I3" s="19"/>
    </row>
    <row r="4" spans="2:14" ht="15.65" customHeight="1" x14ac:dyDescent="0.45">
      <c r="B4" t="s">
        <v>18</v>
      </c>
      <c r="C4" t="s">
        <v>23</v>
      </c>
      <c r="E4" s="19"/>
      <c r="F4" s="19"/>
      <c r="G4" s="19"/>
      <c r="H4" s="25" t="s">
        <v>17</v>
      </c>
      <c r="I4" s="19"/>
    </row>
    <row r="5" spans="2:14" ht="15" customHeight="1" x14ac:dyDescent="0.45">
      <c r="B5" t="s">
        <v>31</v>
      </c>
      <c r="C5" t="s">
        <v>19</v>
      </c>
      <c r="E5" s="19"/>
      <c r="F5" s="19"/>
      <c r="G5" s="19"/>
      <c r="H5" s="20" t="s">
        <v>35</v>
      </c>
      <c r="I5" s="19"/>
    </row>
    <row r="6" spans="2:14" ht="15" customHeight="1" x14ac:dyDescent="0.45">
      <c r="B6" t="s">
        <v>29</v>
      </c>
      <c r="C6" t="s">
        <v>30</v>
      </c>
      <c r="E6" s="19"/>
      <c r="F6" s="19"/>
      <c r="G6" s="19"/>
      <c r="H6" s="19"/>
      <c r="I6" s="19"/>
    </row>
    <row r="7" spans="2:14" ht="16" customHeight="1" x14ac:dyDescent="0.45">
      <c r="B7" t="s">
        <v>20</v>
      </c>
      <c r="C7" s="24" t="s">
        <v>28</v>
      </c>
      <c r="E7" s="19"/>
      <c r="F7" s="19"/>
      <c r="G7" s="19"/>
      <c r="H7" s="19"/>
      <c r="I7" s="19"/>
    </row>
    <row r="8" spans="2:14" s="1" customFormat="1" x14ac:dyDescent="0.35">
      <c r="E8" s="6"/>
      <c r="F8" s="6"/>
      <c r="G8" s="6"/>
      <c r="H8" s="6"/>
      <c r="I8" s="6"/>
      <c r="J8" s="6"/>
      <c r="K8" s="6"/>
      <c r="L8" s="6"/>
      <c r="M8" s="6"/>
    </row>
    <row r="9" spans="2:14" ht="18.5" x14ac:dyDescent="0.45">
      <c r="B9" s="17"/>
      <c r="C9" s="18"/>
      <c r="D9" s="27" t="s">
        <v>11</v>
      </c>
      <c r="E9" s="28"/>
      <c r="F9" s="28"/>
      <c r="G9" s="28"/>
      <c r="H9" s="28"/>
      <c r="I9" s="28"/>
      <c r="J9" s="29"/>
      <c r="K9" s="30" t="s">
        <v>12</v>
      </c>
      <c r="L9" s="30"/>
      <c r="M9" s="31"/>
    </row>
    <row r="10" spans="2:14" x14ac:dyDescent="0.35">
      <c r="B10" s="4" t="s">
        <v>0</v>
      </c>
      <c r="C10" s="5" t="s">
        <v>31</v>
      </c>
      <c r="D10" s="7" t="s">
        <v>9</v>
      </c>
      <c r="E10" s="7" t="s">
        <v>25</v>
      </c>
      <c r="F10" s="7" t="s">
        <v>15</v>
      </c>
      <c r="G10" s="7" t="s">
        <v>26</v>
      </c>
      <c r="H10" s="7" t="s">
        <v>27</v>
      </c>
      <c r="I10" s="7" t="s">
        <v>24</v>
      </c>
      <c r="J10" s="7" t="s">
        <v>16</v>
      </c>
      <c r="K10" s="12" t="s">
        <v>32</v>
      </c>
      <c r="L10" s="12" t="s">
        <v>13</v>
      </c>
      <c r="M10" s="21" t="s">
        <v>33</v>
      </c>
      <c r="N10" s="9"/>
    </row>
    <row r="11" spans="2:14" x14ac:dyDescent="0.35">
      <c r="B11" s="32" t="s">
        <v>1</v>
      </c>
      <c r="C11" s="3" t="s">
        <v>6</v>
      </c>
      <c r="D11" s="22">
        <f>47810/3</f>
        <v>15936.666666666666</v>
      </c>
      <c r="E11" s="8">
        <f>D11*1073</f>
        <v>17100043.333333332</v>
      </c>
      <c r="F11" s="8">
        <f>12%*E11</f>
        <v>2052005.1999999997</v>
      </c>
      <c r="G11" s="8">
        <f>5%*E11</f>
        <v>855002.16666666663</v>
      </c>
      <c r="H11" s="10">
        <f>2%*E11</f>
        <v>342000.86666666664</v>
      </c>
      <c r="I11" s="10">
        <f>1.5%*E11</f>
        <v>256500.64999999997</v>
      </c>
      <c r="J11" s="11">
        <f>E11-F11-G11-H11-I11</f>
        <v>13594534.449999999</v>
      </c>
      <c r="K11" s="13">
        <f>1.05*J11</f>
        <v>14274261.172499999</v>
      </c>
      <c r="L11" s="13">
        <f>J11</f>
        <v>13594534.449999999</v>
      </c>
      <c r="M11" s="13">
        <f>0.97*J11</f>
        <v>13186698.416499998</v>
      </c>
    </row>
    <row r="12" spans="2:14" x14ac:dyDescent="0.35">
      <c r="B12" s="32"/>
      <c r="C12" s="3" t="s">
        <v>7</v>
      </c>
      <c r="D12" s="3">
        <f>33099/3</f>
        <v>11033</v>
      </c>
      <c r="E12" s="8">
        <f>D12*1073</f>
        <v>11838409</v>
      </c>
      <c r="F12" s="8">
        <f>12%*E12</f>
        <v>1420609.0799999998</v>
      </c>
      <c r="G12" s="8">
        <f>5%*E12</f>
        <v>591920.45000000007</v>
      </c>
      <c r="H12" s="10">
        <f>2%*E12</f>
        <v>236768.18</v>
      </c>
      <c r="I12" s="10">
        <f>1.5%*E12</f>
        <v>177576.13499999998</v>
      </c>
      <c r="J12" s="11">
        <f>E12-F12-G12-H12-I12</f>
        <v>9411535.1550000012</v>
      </c>
      <c r="K12" s="13">
        <f>1.05*J12</f>
        <v>9882111.912750002</v>
      </c>
      <c r="L12" s="13">
        <f>J12</f>
        <v>9411535.1550000012</v>
      </c>
      <c r="M12" s="13">
        <f>0.97*J12</f>
        <v>9129189.1003500018</v>
      </c>
    </row>
    <row r="13" spans="2:14" x14ac:dyDescent="0.35">
      <c r="B13" s="32"/>
      <c r="C13" s="3" t="s">
        <v>8</v>
      </c>
      <c r="D13" s="22">
        <f>29422/3</f>
        <v>9807.3333333333339</v>
      </c>
      <c r="E13" s="8">
        <f>D13*1073</f>
        <v>10523268.666666668</v>
      </c>
      <c r="F13" s="8">
        <f>12%*E13</f>
        <v>1262792.24</v>
      </c>
      <c r="G13" s="8">
        <f>5%*E13</f>
        <v>526163.43333333347</v>
      </c>
      <c r="H13" s="10">
        <f>2%*E13</f>
        <v>210465.37333333335</v>
      </c>
      <c r="I13" s="10">
        <f>1.5%*E13</f>
        <v>157849.03</v>
      </c>
      <c r="J13" s="11">
        <f>E13-F13-G13-H13-I13</f>
        <v>8365998.5900000008</v>
      </c>
      <c r="K13" s="13">
        <f>1.05*J13</f>
        <v>8784298.5195000004</v>
      </c>
      <c r="L13" s="13">
        <f>J13</f>
        <v>8365998.5900000008</v>
      </c>
      <c r="M13" s="13">
        <f>0.97*J13</f>
        <v>8115018.6323000006</v>
      </c>
    </row>
    <row r="14" spans="2:14" x14ac:dyDescent="0.35">
      <c r="B14" s="32"/>
      <c r="C14" s="14" t="s">
        <v>14</v>
      </c>
      <c r="D14" s="14">
        <f>SUM(D11:D13)</f>
        <v>36777</v>
      </c>
      <c r="E14" s="15">
        <f t="shared" ref="E14:M14" si="0">SUM(E11:E13)</f>
        <v>39461721</v>
      </c>
      <c r="F14" s="15">
        <f t="shared" si="0"/>
        <v>4735406.5199999996</v>
      </c>
      <c r="G14" s="15">
        <f t="shared" si="0"/>
        <v>1973086.0500000003</v>
      </c>
      <c r="H14" s="15">
        <f t="shared" si="0"/>
        <v>789234.41999999993</v>
      </c>
      <c r="I14" s="15">
        <f t="shared" si="0"/>
        <v>591925.81499999994</v>
      </c>
      <c r="J14" s="15">
        <f t="shared" si="0"/>
        <v>31372068.195</v>
      </c>
      <c r="K14" s="16">
        <f t="shared" si="0"/>
        <v>32940671.60475</v>
      </c>
      <c r="L14" s="16">
        <f t="shared" si="0"/>
        <v>31372068.195</v>
      </c>
      <c r="M14" s="16">
        <f t="shared" si="0"/>
        <v>30430906.149150003</v>
      </c>
    </row>
    <row r="15" spans="2:14" x14ac:dyDescent="0.35">
      <c r="B15" s="32" t="s">
        <v>2</v>
      </c>
      <c r="C15" s="3" t="s">
        <v>6</v>
      </c>
      <c r="D15" s="22">
        <f>47257/3</f>
        <v>15752.333333333334</v>
      </c>
      <c r="E15" s="8">
        <f>D15*225</f>
        <v>3544275</v>
      </c>
      <c r="F15" s="8">
        <f>12%*E15</f>
        <v>425313</v>
      </c>
      <c r="G15" s="8">
        <f>5%*E15</f>
        <v>177213.75</v>
      </c>
      <c r="H15" s="10">
        <f>2%*E15</f>
        <v>70885.5</v>
      </c>
      <c r="I15" s="10">
        <f>1.5%*E15</f>
        <v>53164.125</v>
      </c>
      <c r="J15" s="11">
        <f>E15-F15-G15-H15-I15</f>
        <v>2817698.625</v>
      </c>
      <c r="K15" s="13">
        <f>1.05*J15</f>
        <v>2958583.5562499999</v>
      </c>
      <c r="L15" s="13">
        <f>J15</f>
        <v>2817698.625</v>
      </c>
      <c r="M15" s="13">
        <f>0.97*J15</f>
        <v>2733167.6662499998</v>
      </c>
    </row>
    <row r="16" spans="2:14" x14ac:dyDescent="0.35">
      <c r="B16" s="32"/>
      <c r="C16" s="3" t="s">
        <v>7</v>
      </c>
      <c r="D16" s="3">
        <f>32412/3</f>
        <v>10804</v>
      </c>
      <c r="E16" s="8">
        <f>D16*225</f>
        <v>2430900</v>
      </c>
      <c r="F16" s="8">
        <f>12%*E16</f>
        <v>291708</v>
      </c>
      <c r="G16" s="8">
        <f>5%*E16</f>
        <v>121545</v>
      </c>
      <c r="H16" s="10">
        <f>2%*E16</f>
        <v>48618</v>
      </c>
      <c r="I16" s="10">
        <f>1.5%*E16</f>
        <v>36463.5</v>
      </c>
      <c r="J16" s="11">
        <f>E16-F16-G16-H16-I16</f>
        <v>1932565.5</v>
      </c>
      <c r="K16" s="13">
        <f>1.05*J16</f>
        <v>2029193.7750000001</v>
      </c>
      <c r="L16" s="13">
        <f>J16</f>
        <v>1932565.5</v>
      </c>
      <c r="M16" s="13">
        <f>0.97*J16</f>
        <v>1874588.5349999999</v>
      </c>
    </row>
    <row r="17" spans="2:13" x14ac:dyDescent="0.35">
      <c r="B17" s="32"/>
      <c r="C17" s="3" t="s">
        <v>8</v>
      </c>
      <c r="D17" s="22">
        <f>28582/3</f>
        <v>9527.3333333333339</v>
      </c>
      <c r="E17" s="8">
        <f>D17*225</f>
        <v>2143650</v>
      </c>
      <c r="F17" s="8">
        <f>12%*E17</f>
        <v>257238</v>
      </c>
      <c r="G17" s="8">
        <f>5%*E17</f>
        <v>107182.5</v>
      </c>
      <c r="H17" s="10">
        <f>2%*E17</f>
        <v>42873</v>
      </c>
      <c r="I17" s="10">
        <f>1.5%*E17</f>
        <v>32154.75</v>
      </c>
      <c r="J17" s="11">
        <f>E17-F17-G17-H17-I17</f>
        <v>1704201.75</v>
      </c>
      <c r="K17" s="13">
        <f>1.05*J17</f>
        <v>1789411.8375000001</v>
      </c>
      <c r="L17" s="13">
        <f>J17</f>
        <v>1704201.75</v>
      </c>
      <c r="M17" s="13">
        <f>0.97*J17</f>
        <v>1653075.6975</v>
      </c>
    </row>
    <row r="18" spans="2:13" x14ac:dyDescent="0.35">
      <c r="B18" s="32"/>
      <c r="C18" s="14" t="s">
        <v>14</v>
      </c>
      <c r="D18" s="23">
        <f>SUM(D15:D17)</f>
        <v>36083.666666666672</v>
      </c>
      <c r="E18" s="15">
        <f t="shared" ref="E18:M18" si="1">SUM(E15:E17)</f>
        <v>8118825</v>
      </c>
      <c r="F18" s="15">
        <f t="shared" si="1"/>
        <v>974259</v>
      </c>
      <c r="G18" s="15">
        <f t="shared" si="1"/>
        <v>405941.25</v>
      </c>
      <c r="H18" s="15">
        <f t="shared" si="1"/>
        <v>162376.5</v>
      </c>
      <c r="I18" s="15">
        <f t="shared" si="1"/>
        <v>121782.375</v>
      </c>
      <c r="J18" s="15">
        <f t="shared" si="1"/>
        <v>6454465.875</v>
      </c>
      <c r="K18" s="16">
        <f t="shared" si="1"/>
        <v>6777189.1687500002</v>
      </c>
      <c r="L18" s="16">
        <f t="shared" si="1"/>
        <v>6454465.875</v>
      </c>
      <c r="M18" s="16">
        <f t="shared" si="1"/>
        <v>6260831.8987499997</v>
      </c>
    </row>
    <row r="19" spans="2:13" x14ac:dyDescent="0.35">
      <c r="B19" s="32" t="s">
        <v>3</v>
      </c>
      <c r="C19" s="3" t="s">
        <v>6</v>
      </c>
      <c r="D19" s="3">
        <f>43284/3</f>
        <v>14428</v>
      </c>
      <c r="E19" s="8">
        <f>D19*3200</f>
        <v>46169600</v>
      </c>
      <c r="F19" s="8">
        <f>12%*E19</f>
        <v>5540352</v>
      </c>
      <c r="G19" s="8">
        <f>5%*E19</f>
        <v>2308480</v>
      </c>
      <c r="H19" s="10">
        <f>2%*E19</f>
        <v>923392</v>
      </c>
      <c r="I19" s="10">
        <f>1.5%*E19</f>
        <v>692544</v>
      </c>
      <c r="J19" s="11">
        <f>E19-F19-G19-H19-I19</f>
        <v>36704832</v>
      </c>
      <c r="K19" s="13">
        <f>1.05*J19</f>
        <v>38540073.600000001</v>
      </c>
      <c r="L19" s="13">
        <f>J19</f>
        <v>36704832</v>
      </c>
      <c r="M19" s="13">
        <f>0.97*J19</f>
        <v>35603687.039999999</v>
      </c>
    </row>
    <row r="20" spans="2:13" x14ac:dyDescent="0.35">
      <c r="B20" s="32"/>
      <c r="C20" s="3" t="s">
        <v>7</v>
      </c>
      <c r="D20" s="3">
        <f>33957/3</f>
        <v>11319</v>
      </c>
      <c r="E20" s="8">
        <f>D20*3200</f>
        <v>36220800</v>
      </c>
      <c r="F20" s="8">
        <f>12%*E20</f>
        <v>4346496</v>
      </c>
      <c r="G20" s="8">
        <f>5%*E20</f>
        <v>1811040</v>
      </c>
      <c r="H20" s="10">
        <f>2%*E20</f>
        <v>724416</v>
      </c>
      <c r="I20" s="10">
        <f>1.5%*E20</f>
        <v>543312</v>
      </c>
      <c r="J20" s="11">
        <f>E20-F20-G20-H20-I20</f>
        <v>28795536</v>
      </c>
      <c r="K20" s="13">
        <f>1.05*J20</f>
        <v>30235312.800000001</v>
      </c>
      <c r="L20" s="13">
        <f>J20</f>
        <v>28795536</v>
      </c>
      <c r="M20" s="13">
        <f>0.97*J20</f>
        <v>27931669.919999998</v>
      </c>
    </row>
    <row r="21" spans="2:13" x14ac:dyDescent="0.35">
      <c r="B21" s="32"/>
      <c r="C21" s="3" t="s">
        <v>8</v>
      </c>
      <c r="D21" s="22">
        <f>32299/3</f>
        <v>10766.333333333334</v>
      </c>
      <c r="E21" s="8">
        <f>D21*3200</f>
        <v>34452266.666666672</v>
      </c>
      <c r="F21" s="8">
        <f>12%*E21</f>
        <v>4134272.0000000005</v>
      </c>
      <c r="G21" s="8">
        <f>5%*E21</f>
        <v>1722613.3333333337</v>
      </c>
      <c r="H21" s="10">
        <f>2%*E21</f>
        <v>689045.33333333349</v>
      </c>
      <c r="I21" s="10">
        <f>1.5%*E21</f>
        <v>516784.00000000006</v>
      </c>
      <c r="J21" s="11">
        <f>E21-F21-G21-H21-I21</f>
        <v>27389552.000000007</v>
      </c>
      <c r="K21" s="13">
        <f>1.05*J21</f>
        <v>28759029.600000009</v>
      </c>
      <c r="L21" s="13">
        <f>J21</f>
        <v>27389552.000000007</v>
      </c>
      <c r="M21" s="13">
        <f>0.97*J21</f>
        <v>26567865.440000005</v>
      </c>
    </row>
    <row r="22" spans="2:13" x14ac:dyDescent="0.35">
      <c r="B22" s="32"/>
      <c r="C22" s="14" t="s">
        <v>14</v>
      </c>
      <c r="D22" s="23">
        <f>SUM(D19:D21)</f>
        <v>36513.333333333336</v>
      </c>
      <c r="E22" s="15">
        <f t="shared" ref="E22:M22" si="2">SUM(E19:E21)</f>
        <v>116842666.66666667</v>
      </c>
      <c r="F22" s="15">
        <f t="shared" si="2"/>
        <v>14021120</v>
      </c>
      <c r="G22" s="15">
        <f t="shared" si="2"/>
        <v>5842133.333333334</v>
      </c>
      <c r="H22" s="15">
        <f t="shared" si="2"/>
        <v>2336853.3333333335</v>
      </c>
      <c r="I22" s="15">
        <f t="shared" si="2"/>
        <v>1752640</v>
      </c>
      <c r="J22" s="15">
        <f t="shared" si="2"/>
        <v>92889920</v>
      </c>
      <c r="K22" s="16">
        <f t="shared" si="2"/>
        <v>97534416.000000015</v>
      </c>
      <c r="L22" s="16">
        <f t="shared" si="2"/>
        <v>92889920</v>
      </c>
      <c r="M22" s="16">
        <f t="shared" si="2"/>
        <v>90103222.400000006</v>
      </c>
    </row>
    <row r="23" spans="2:13" x14ac:dyDescent="0.35">
      <c r="B23" s="32" t="s">
        <v>4</v>
      </c>
      <c r="C23" s="3" t="s">
        <v>6</v>
      </c>
      <c r="D23" s="22">
        <f>53368/3</f>
        <v>17789.333333333332</v>
      </c>
      <c r="E23" s="8">
        <f>D23*1073</f>
        <v>19087954.666666664</v>
      </c>
      <c r="F23" s="8">
        <f>12%*E23</f>
        <v>2290554.5599999996</v>
      </c>
      <c r="G23" s="8">
        <f>5%*E23</f>
        <v>954397.73333333328</v>
      </c>
      <c r="H23" s="10">
        <f>2%*E23</f>
        <v>381759.09333333327</v>
      </c>
      <c r="I23" s="10">
        <f>1.5%*E23</f>
        <v>286319.31999999995</v>
      </c>
      <c r="J23" s="11">
        <f>E23-F23-G23-H23-I23</f>
        <v>15174923.959999999</v>
      </c>
      <c r="K23" s="13">
        <f>1.05*J23</f>
        <v>15933670.158</v>
      </c>
      <c r="L23" s="13">
        <f>J23</f>
        <v>15174923.959999999</v>
      </c>
      <c r="M23" s="13">
        <f>0.97*J23</f>
        <v>14719676.241199998</v>
      </c>
    </row>
    <row r="24" spans="2:13" x14ac:dyDescent="0.35">
      <c r="B24" s="32"/>
      <c r="C24" s="3" t="s">
        <v>7</v>
      </c>
      <c r="D24" s="3">
        <f>42087/3</f>
        <v>14029</v>
      </c>
      <c r="E24" s="8">
        <f>D24*1073</f>
        <v>15053117</v>
      </c>
      <c r="F24" s="8">
        <f>12%*E24</f>
        <v>1806374.04</v>
      </c>
      <c r="G24" s="8">
        <f>5%*E24</f>
        <v>752655.85000000009</v>
      </c>
      <c r="H24" s="10">
        <f>2%*E24</f>
        <v>301062.34000000003</v>
      </c>
      <c r="I24" s="10">
        <f>1.5%*E24</f>
        <v>225796.755</v>
      </c>
      <c r="J24" s="11">
        <f>E24-F24-G24-H24-I24</f>
        <v>11967228.015000001</v>
      </c>
      <c r="K24" s="13">
        <f>1.05*J24</f>
        <v>12565589.415750001</v>
      </c>
      <c r="L24" s="13">
        <f>J24</f>
        <v>11967228.015000001</v>
      </c>
      <c r="M24" s="13">
        <f>0.97*J24</f>
        <v>11608211.174550001</v>
      </c>
    </row>
    <row r="25" spans="2:13" x14ac:dyDescent="0.35">
      <c r="B25" s="32"/>
      <c r="C25" s="3" t="s">
        <v>8</v>
      </c>
      <c r="D25" s="22">
        <f>33287/3</f>
        <v>11095.666666666666</v>
      </c>
      <c r="E25" s="8">
        <f>D25*1073</f>
        <v>11905650.333333332</v>
      </c>
      <c r="F25" s="8">
        <f>12%*E25</f>
        <v>1428678.0399999998</v>
      </c>
      <c r="G25" s="8">
        <f>5%*E25</f>
        <v>595282.5166666666</v>
      </c>
      <c r="H25" s="10">
        <f>2%*E25</f>
        <v>238113.00666666665</v>
      </c>
      <c r="I25" s="10">
        <f>1.5%*E25</f>
        <v>178584.75499999998</v>
      </c>
      <c r="J25" s="11">
        <f>E25-F25-G25-H25-I25</f>
        <v>9464992.0150000006</v>
      </c>
      <c r="K25" s="13">
        <f>1.05*J25</f>
        <v>9938241.6157500017</v>
      </c>
      <c r="L25" s="13">
        <f>J25</f>
        <v>9464992.0150000006</v>
      </c>
      <c r="M25" s="13">
        <f>0.97*J25</f>
        <v>9181042.2545500007</v>
      </c>
    </row>
    <row r="26" spans="2:13" x14ac:dyDescent="0.35">
      <c r="B26" s="32"/>
      <c r="C26" s="14" t="s">
        <v>14</v>
      </c>
      <c r="D26" s="14">
        <f>SUM(D23:D25)</f>
        <v>42914</v>
      </c>
      <c r="E26" s="15">
        <f t="shared" ref="E26:M26" si="3">SUM(E23:E25)</f>
        <v>46046722</v>
      </c>
      <c r="F26" s="15">
        <f t="shared" si="3"/>
        <v>5525606.6399999997</v>
      </c>
      <c r="G26" s="15">
        <f t="shared" si="3"/>
        <v>2302336.1</v>
      </c>
      <c r="H26" s="15">
        <f t="shared" si="3"/>
        <v>920934.44</v>
      </c>
      <c r="I26" s="15">
        <f t="shared" si="3"/>
        <v>690700.83</v>
      </c>
      <c r="J26" s="15">
        <f t="shared" si="3"/>
        <v>36607143.990000002</v>
      </c>
      <c r="K26" s="16">
        <f t="shared" si="3"/>
        <v>38437501.189500004</v>
      </c>
      <c r="L26" s="16">
        <f t="shared" si="3"/>
        <v>36607143.990000002</v>
      </c>
      <c r="M26" s="16">
        <f t="shared" si="3"/>
        <v>35508929.670299999</v>
      </c>
    </row>
    <row r="27" spans="2:13" x14ac:dyDescent="0.35">
      <c r="B27" s="32" t="s">
        <v>5</v>
      </c>
      <c r="C27" s="3" t="s">
        <v>6</v>
      </c>
      <c r="D27" s="3">
        <f>60963/3</f>
        <v>20321</v>
      </c>
      <c r="E27" s="8">
        <f>D27*1073</f>
        <v>21804433</v>
      </c>
      <c r="F27" s="8">
        <f>12%*E27</f>
        <v>2616531.96</v>
      </c>
      <c r="G27" s="8">
        <f>5%*E27</f>
        <v>1090221.6500000001</v>
      </c>
      <c r="H27" s="10">
        <f>2%*E27</f>
        <v>436088.66000000003</v>
      </c>
      <c r="I27" s="10">
        <f>1.5%*E27</f>
        <v>327066.495</v>
      </c>
      <c r="J27" s="11">
        <f>E27-F27-G27-H27-I27</f>
        <v>17334524.234999999</v>
      </c>
      <c r="K27" s="13">
        <f>1.05*J27</f>
        <v>18201250.44675</v>
      </c>
      <c r="L27" s="13">
        <f>J27</f>
        <v>17334524.234999999</v>
      </c>
      <c r="M27" s="13">
        <f>0.97*J27</f>
        <v>16814488.50795</v>
      </c>
    </row>
    <row r="28" spans="2:13" x14ac:dyDescent="0.35">
      <c r="B28" s="32"/>
      <c r="C28" s="3" t="s">
        <v>7</v>
      </c>
      <c r="D28" s="3">
        <f>24321/3</f>
        <v>8107</v>
      </c>
      <c r="E28" s="8">
        <f>D28*1073</f>
        <v>8698811</v>
      </c>
      <c r="F28" s="8">
        <f>12%*E28</f>
        <v>1043857.32</v>
      </c>
      <c r="G28" s="8">
        <f>5%*E28</f>
        <v>434940.55000000005</v>
      </c>
      <c r="H28" s="10">
        <f>2%*E28</f>
        <v>173976.22</v>
      </c>
      <c r="I28" s="10">
        <f>1.5%*E28</f>
        <v>130482.16499999999</v>
      </c>
      <c r="J28" s="11">
        <f>E28-F28-G28-H28-I28</f>
        <v>6915554.7450000001</v>
      </c>
      <c r="K28" s="13">
        <f>1.05*J28</f>
        <v>7261332.4822500004</v>
      </c>
      <c r="L28" s="13">
        <f>J28</f>
        <v>6915554.7450000001</v>
      </c>
      <c r="M28" s="13">
        <f>0.97*J28</f>
        <v>6708088.1026499998</v>
      </c>
    </row>
    <row r="29" spans="2:13" x14ac:dyDescent="0.35">
      <c r="B29" s="32"/>
      <c r="C29" s="3" t="s">
        <v>8</v>
      </c>
      <c r="D29" s="22">
        <f>37543/3</f>
        <v>12514.333333333334</v>
      </c>
      <c r="E29" s="8">
        <f>D29*1073</f>
        <v>13427879.666666668</v>
      </c>
      <c r="F29" s="8">
        <f>12%*E29</f>
        <v>1611345.56</v>
      </c>
      <c r="G29" s="8">
        <f>5%*E29</f>
        <v>671393.9833333334</v>
      </c>
      <c r="H29" s="10">
        <f>2%*E29</f>
        <v>268557.59333333338</v>
      </c>
      <c r="I29" s="10">
        <f>1.5%*E29</f>
        <v>201418.19500000001</v>
      </c>
      <c r="J29" s="11">
        <f>E29-F29-G29-H29-I29</f>
        <v>10675164.335000001</v>
      </c>
      <c r="K29" s="13">
        <f>1.05*J29</f>
        <v>11208922.551750001</v>
      </c>
      <c r="L29" s="13">
        <f>J29</f>
        <v>10675164.335000001</v>
      </c>
      <c r="M29" s="13">
        <f>0.97*J29</f>
        <v>10354909.40495</v>
      </c>
    </row>
    <row r="30" spans="2:13" x14ac:dyDescent="0.35">
      <c r="B30" s="32"/>
      <c r="C30" s="14" t="s">
        <v>14</v>
      </c>
      <c r="D30" s="23">
        <f>SUM(D27:D29)</f>
        <v>40942.333333333336</v>
      </c>
      <c r="E30" s="15">
        <f t="shared" ref="E30:M30" si="4">SUM(E27:E29)</f>
        <v>43931123.666666672</v>
      </c>
      <c r="F30" s="15">
        <f t="shared" si="4"/>
        <v>5271734.84</v>
      </c>
      <c r="G30" s="15">
        <f t="shared" si="4"/>
        <v>2196556.1833333336</v>
      </c>
      <c r="H30" s="15">
        <f t="shared" si="4"/>
        <v>878622.47333333339</v>
      </c>
      <c r="I30" s="15">
        <f t="shared" si="4"/>
        <v>658966.85499999998</v>
      </c>
      <c r="J30" s="15">
        <f t="shared" si="4"/>
        <v>34925243.314999998</v>
      </c>
      <c r="K30" s="16">
        <f t="shared" si="4"/>
        <v>36671505.480750002</v>
      </c>
      <c r="L30" s="16">
        <f t="shared" si="4"/>
        <v>34925243.314999998</v>
      </c>
      <c r="M30" s="16">
        <f t="shared" si="4"/>
        <v>33877486.015550002</v>
      </c>
    </row>
    <row r="32" spans="2:13" x14ac:dyDescent="0.35">
      <c r="B32" t="s">
        <v>21</v>
      </c>
      <c r="E32" s="33" t="s">
        <v>22</v>
      </c>
      <c r="F32" s="33"/>
      <c r="G32" s="33"/>
      <c r="H32" s="33"/>
      <c r="I32" s="33"/>
      <c r="J32" s="33"/>
    </row>
    <row r="34" spans="7:7" x14ac:dyDescent="0.35">
      <c r="G34" s="1" t="s">
        <v>34</v>
      </c>
    </row>
  </sheetData>
  <mergeCells count="9">
    <mergeCell ref="C2:H2"/>
    <mergeCell ref="D9:J9"/>
    <mergeCell ref="K9:M9"/>
    <mergeCell ref="B11:B14"/>
    <mergeCell ref="E32:J32"/>
    <mergeCell ref="B15:B18"/>
    <mergeCell ref="B19:B22"/>
    <mergeCell ref="B23:B26"/>
    <mergeCell ref="B27:B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Karthik Ananth</cp:lastModifiedBy>
  <cp:revision/>
  <dcterms:created xsi:type="dcterms:W3CDTF">2015-06-05T18:17:20Z</dcterms:created>
  <dcterms:modified xsi:type="dcterms:W3CDTF">2025-07-10T04:50:35Z</dcterms:modified>
  <cp:category/>
  <cp:contentStatus/>
</cp:coreProperties>
</file>